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Senopalnikova.oe.MRSK-C\Desktop\Сводка\"/>
    </mc:Choice>
  </mc:AlternateContent>
  <bookViews>
    <workbookView xWindow="0" yWindow="0" windowWidth="25200" windowHeight="12270"/>
  </bookViews>
  <sheets>
    <sheet name="Расчет" sheetId="1" r:id="rId1"/>
    <sheet name="Данные" sheetId="2" state="hidden" r:id="rId2"/>
  </sheets>
  <definedNames>
    <definedName name="Заголовок">Данные!$B$6</definedName>
    <definedName name="Индекс_цен">Данные!$B$4</definedName>
    <definedName name="Код">Данные!$B$2</definedName>
    <definedName name="НДС">Данные!$B$5</definedName>
    <definedName name="_xlnm.Print_Area" localSheetId="0">Расчет!$A$1:$H$111</definedName>
    <definedName name="Обор_баз">Данные!$L$4</definedName>
    <definedName name="Оборуд_Тек">Данные!$G$5</definedName>
    <definedName name="Оборуд_Тек2">Данные!$H$5</definedName>
    <definedName name="Оборуд_Тек3">Данные!$I$5</definedName>
    <definedName name="ПИР_баз">Данные!$L$1</definedName>
    <definedName name="ПИР_Тек">Данные!$G$2</definedName>
    <definedName name="ПИР_Тек2">Данные!$H$2</definedName>
    <definedName name="ПИР_Тек3">Данные!$I$2</definedName>
    <definedName name="ПНР_баз">Данные!$L$3</definedName>
    <definedName name="ПНР_Тек">Данные!$G$4</definedName>
    <definedName name="ПНР_Тек2">Данные!$H$4</definedName>
    <definedName name="ПНР_Тек3">Данные!$I$4</definedName>
    <definedName name="Прочее_баз">Данные!$L$5</definedName>
    <definedName name="Прочее_Тек">Данные!$G$6</definedName>
    <definedName name="Прочее_Тек2">Данные!$H$6</definedName>
    <definedName name="Прочее_Тек3">Данные!$I$6</definedName>
    <definedName name="СМР_баз">Данные!$L$2</definedName>
    <definedName name="СМР_Тек">Данные!$G$3</definedName>
    <definedName name="СМР_Тек2">Данные!$H$3</definedName>
    <definedName name="СМР_Тек3">Данные!$I$3</definedName>
    <definedName name="ТаблицаРасчета">Расчет!$A$1:$H$110</definedName>
    <definedName name="Тек_цен">Данные!$A$4</definedName>
    <definedName name="Титул">Данные!$B$3</definedName>
    <definedName name="Филиал">Данные!$B$1</definedName>
    <definedName name="Фин">Данные!$Q$4</definedName>
    <definedName name="Фин_Проценты">Данные!$Q$3</definedName>
    <definedName name="Фин_Прочее">Данные!$Q$2</definedName>
    <definedName name="Фин_Факт">Данные!$Q$1</definedName>
  </definedNames>
  <calcPr calcId="162913" refMode="R1C1"/>
</workbook>
</file>

<file path=xl/calcChain.xml><?xml version="1.0" encoding="utf-8"?>
<calcChain xmlns="http://schemas.openxmlformats.org/spreadsheetml/2006/main">
  <c r="C36" i="2" l="1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D18" i="2" s="1"/>
  <c r="G1" i="2"/>
  <c r="H109" i="1"/>
  <c r="H108" i="1"/>
  <c r="H107" i="1"/>
  <c r="H106" i="1"/>
  <c r="C104" i="1"/>
  <c r="B104" i="1"/>
  <c r="C103" i="1"/>
  <c r="B103" i="1"/>
  <c r="C102" i="1"/>
  <c r="B102" i="1"/>
  <c r="C101" i="1"/>
  <c r="B101" i="1"/>
  <c r="C100" i="1"/>
  <c r="B100" i="1"/>
  <c r="C99" i="1"/>
  <c r="B99" i="1"/>
  <c r="C98" i="1"/>
  <c r="B98" i="1"/>
  <c r="C97" i="1"/>
  <c r="B97" i="1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B85" i="1"/>
  <c r="F84" i="1"/>
  <c r="D84" i="1"/>
  <c r="C79" i="1"/>
  <c r="B79" i="1"/>
  <c r="G78" i="1"/>
  <c r="C78" i="1"/>
  <c r="B78" i="1"/>
  <c r="E77" i="1"/>
  <c r="D77" i="1"/>
  <c r="B77" i="1"/>
  <c r="G76" i="1"/>
  <c r="F76" i="1"/>
  <c r="E76" i="1"/>
  <c r="D76" i="1"/>
  <c r="C76" i="1"/>
  <c r="H76" i="1" s="1"/>
  <c r="B76" i="1"/>
  <c r="E75" i="1"/>
  <c r="D75" i="1"/>
  <c r="B75" i="1"/>
  <c r="F74" i="1"/>
  <c r="E74" i="1"/>
  <c r="D74" i="1"/>
  <c r="C74" i="1"/>
  <c r="B74" i="1"/>
  <c r="F73" i="1"/>
  <c r="B73" i="1"/>
  <c r="G72" i="1"/>
  <c r="C72" i="1"/>
  <c r="H72" i="1" s="1"/>
  <c r="B72" i="1"/>
  <c r="G71" i="1"/>
  <c r="F71" i="1"/>
  <c r="B71" i="1"/>
  <c r="G70" i="1"/>
  <c r="B70" i="1"/>
  <c r="G69" i="1"/>
  <c r="F69" i="1"/>
  <c r="B69" i="1"/>
  <c r="D68" i="1"/>
  <c r="C68" i="1"/>
  <c r="B68" i="1"/>
  <c r="F67" i="1"/>
  <c r="E67" i="1"/>
  <c r="D67" i="1"/>
  <c r="C67" i="1"/>
  <c r="H67" i="1" s="1"/>
  <c r="B67" i="1"/>
  <c r="D66" i="1"/>
  <c r="B66" i="1"/>
  <c r="E65" i="1"/>
  <c r="D65" i="1"/>
  <c r="C65" i="1"/>
  <c r="B65" i="1"/>
  <c r="E64" i="1"/>
  <c r="B64" i="1"/>
  <c r="G63" i="1"/>
  <c r="F63" i="1"/>
  <c r="B63" i="1"/>
  <c r="G62" i="1"/>
  <c r="F62" i="1"/>
  <c r="E62" i="1"/>
  <c r="B62" i="1"/>
  <c r="G61" i="1"/>
  <c r="F61" i="1"/>
  <c r="B61" i="1"/>
  <c r="G60" i="1"/>
  <c r="F60" i="1"/>
  <c r="E60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C48" i="1"/>
  <c r="B48" i="1"/>
  <c r="C47" i="1"/>
  <c r="B47" i="1"/>
  <c r="C46" i="1"/>
  <c r="B46" i="1"/>
  <c r="C45" i="1"/>
  <c r="B45" i="1"/>
  <c r="C44" i="1"/>
  <c r="B44" i="1"/>
  <c r="C43" i="1"/>
  <c r="B43" i="1"/>
  <c r="C42" i="1"/>
  <c r="B42" i="1"/>
  <c r="C41" i="1"/>
  <c r="B41" i="1"/>
  <c r="C40" i="1"/>
  <c r="B40" i="1"/>
  <c r="C39" i="1"/>
  <c r="B39" i="1"/>
  <c r="C38" i="1"/>
  <c r="B38" i="1"/>
  <c r="C37" i="1"/>
  <c r="B37" i="1"/>
  <c r="B36" i="1"/>
  <c r="G35" i="1"/>
  <c r="G84" i="1" s="1"/>
  <c r="F35" i="1"/>
  <c r="E35" i="1"/>
  <c r="E84" i="1" s="1"/>
  <c r="D35" i="1"/>
  <c r="C35" i="1"/>
  <c r="H35" i="1" s="1"/>
  <c r="G34" i="1"/>
  <c r="F34" i="1"/>
  <c r="E34" i="1"/>
  <c r="D34" i="1"/>
  <c r="C34" i="1"/>
  <c r="G33" i="1"/>
  <c r="F33" i="1"/>
  <c r="E33" i="1"/>
  <c r="D33" i="1"/>
  <c r="C33" i="1"/>
  <c r="G32" i="1"/>
  <c r="F32" i="1"/>
  <c r="E32" i="1"/>
  <c r="D32" i="1"/>
  <c r="C32" i="1"/>
  <c r="G30" i="1"/>
  <c r="G79" i="1" s="1"/>
  <c r="F30" i="1"/>
  <c r="F79" i="1" s="1"/>
  <c r="E30" i="1"/>
  <c r="E79" i="1" s="1"/>
  <c r="D30" i="1"/>
  <c r="D79" i="1" s="1"/>
  <c r="H79" i="1" s="1"/>
  <c r="C30" i="1"/>
  <c r="B30" i="1"/>
  <c r="G29" i="1"/>
  <c r="F29" i="1"/>
  <c r="F78" i="1" s="1"/>
  <c r="E29" i="1"/>
  <c r="E78" i="1" s="1"/>
  <c r="D29" i="1"/>
  <c r="D78" i="1" s="1"/>
  <c r="C29" i="1"/>
  <c r="H29" i="1" s="1"/>
  <c r="B29" i="1"/>
  <c r="G28" i="1"/>
  <c r="G77" i="1" s="1"/>
  <c r="F28" i="1"/>
  <c r="H28" i="1" s="1"/>
  <c r="E28" i="1"/>
  <c r="D28" i="1"/>
  <c r="C28" i="1"/>
  <c r="C77" i="1" s="1"/>
  <c r="B28" i="1"/>
  <c r="G27" i="1"/>
  <c r="F27" i="1"/>
  <c r="E27" i="1"/>
  <c r="D27" i="1"/>
  <c r="C27" i="1"/>
  <c r="H27" i="1" s="1"/>
  <c r="B27" i="1"/>
  <c r="G26" i="1"/>
  <c r="G75" i="1" s="1"/>
  <c r="F26" i="1"/>
  <c r="H26" i="1" s="1"/>
  <c r="E26" i="1"/>
  <c r="D26" i="1"/>
  <c r="C26" i="1"/>
  <c r="C75" i="1" s="1"/>
  <c r="B26" i="1"/>
  <c r="G25" i="1"/>
  <c r="G74" i="1" s="1"/>
  <c r="F25" i="1"/>
  <c r="E25" i="1"/>
  <c r="D25" i="1"/>
  <c r="C25" i="1"/>
  <c r="B25" i="1"/>
  <c r="G24" i="1"/>
  <c r="G73" i="1" s="1"/>
  <c r="F24" i="1"/>
  <c r="E24" i="1"/>
  <c r="E73" i="1" s="1"/>
  <c r="D24" i="1"/>
  <c r="D73" i="1" s="1"/>
  <c r="C24" i="1"/>
  <c r="H24" i="1" s="1"/>
  <c r="B24" i="1"/>
  <c r="G23" i="1"/>
  <c r="F23" i="1"/>
  <c r="F72" i="1" s="1"/>
  <c r="E23" i="1"/>
  <c r="E72" i="1" s="1"/>
  <c r="D23" i="1"/>
  <c r="D72" i="1" s="1"/>
  <c r="C23" i="1"/>
  <c r="H23" i="1" s="1"/>
  <c r="B23" i="1"/>
  <c r="G22" i="1"/>
  <c r="F22" i="1"/>
  <c r="E22" i="1"/>
  <c r="E71" i="1" s="1"/>
  <c r="D22" i="1"/>
  <c r="D71" i="1" s="1"/>
  <c r="C22" i="1"/>
  <c r="H22" i="1" s="1"/>
  <c r="B22" i="1"/>
  <c r="G21" i="1"/>
  <c r="F21" i="1"/>
  <c r="F70" i="1" s="1"/>
  <c r="E21" i="1"/>
  <c r="E70" i="1" s="1"/>
  <c r="D21" i="1"/>
  <c r="D70" i="1" s="1"/>
  <c r="C21" i="1"/>
  <c r="C70" i="1" s="1"/>
  <c r="H70" i="1" s="1"/>
  <c r="B21" i="1"/>
  <c r="G20" i="1"/>
  <c r="F20" i="1"/>
  <c r="E20" i="1"/>
  <c r="E69" i="1" s="1"/>
  <c r="D20" i="1"/>
  <c r="D69" i="1" s="1"/>
  <c r="C20" i="1"/>
  <c r="H20" i="1" s="1"/>
  <c r="B20" i="1"/>
  <c r="G19" i="1"/>
  <c r="G68" i="1" s="1"/>
  <c r="F19" i="1"/>
  <c r="F68" i="1" s="1"/>
  <c r="E19" i="1"/>
  <c r="E68" i="1" s="1"/>
  <c r="D19" i="1"/>
  <c r="C19" i="1"/>
  <c r="H19" i="1" s="1"/>
  <c r="B19" i="1"/>
  <c r="G18" i="1"/>
  <c r="G67" i="1" s="1"/>
  <c r="F18" i="1"/>
  <c r="E18" i="1"/>
  <c r="D18" i="1"/>
  <c r="C18" i="1"/>
  <c r="H18" i="1" s="1"/>
  <c r="B18" i="1"/>
  <c r="G17" i="1"/>
  <c r="G66" i="1" s="1"/>
  <c r="F17" i="1"/>
  <c r="F66" i="1" s="1"/>
  <c r="E17" i="1"/>
  <c r="E66" i="1" s="1"/>
  <c r="D17" i="1"/>
  <c r="C17" i="1"/>
  <c r="H17" i="1" s="1"/>
  <c r="B17" i="1"/>
  <c r="G16" i="1"/>
  <c r="G65" i="1" s="1"/>
  <c r="F16" i="1"/>
  <c r="F65" i="1" s="1"/>
  <c r="E16" i="1"/>
  <c r="D16" i="1"/>
  <c r="C16" i="1"/>
  <c r="B16" i="1"/>
  <c r="G15" i="1"/>
  <c r="G64" i="1" s="1"/>
  <c r="F15" i="1"/>
  <c r="F64" i="1" s="1"/>
  <c r="E15" i="1"/>
  <c r="D15" i="1"/>
  <c r="D64" i="1" s="1"/>
  <c r="C15" i="1"/>
  <c r="H15" i="1" s="1"/>
  <c r="B15" i="1"/>
  <c r="H14" i="1"/>
  <c r="G14" i="1"/>
  <c r="F14" i="1"/>
  <c r="E14" i="1"/>
  <c r="E63" i="1" s="1"/>
  <c r="D14" i="1"/>
  <c r="D63" i="1" s="1"/>
  <c r="C14" i="1"/>
  <c r="C63" i="1" s="1"/>
  <c r="B14" i="1"/>
  <c r="G13" i="1"/>
  <c r="F13" i="1"/>
  <c r="E13" i="1"/>
  <c r="D13" i="1"/>
  <c r="D62" i="1" s="1"/>
  <c r="C13" i="1"/>
  <c r="H13" i="1" s="1"/>
  <c r="B13" i="1"/>
  <c r="H12" i="1"/>
  <c r="G12" i="1"/>
  <c r="F12" i="1"/>
  <c r="E12" i="1"/>
  <c r="E61" i="1" s="1"/>
  <c r="D12" i="1"/>
  <c r="D61" i="1" s="1"/>
  <c r="C12" i="1"/>
  <c r="C61" i="1" s="1"/>
  <c r="B12" i="1"/>
  <c r="G11" i="1"/>
  <c r="F11" i="1"/>
  <c r="E11" i="1"/>
  <c r="D11" i="1"/>
  <c r="D60" i="1" s="1"/>
  <c r="C11" i="1"/>
  <c r="H11" i="1" s="1"/>
  <c r="B11" i="1"/>
  <c r="B60" i="1" s="1"/>
  <c r="C5" i="1"/>
  <c r="C4" i="1"/>
  <c r="C3" i="1"/>
  <c r="B1" i="1"/>
  <c r="H65" i="1" l="1"/>
  <c r="H61" i="1"/>
  <c r="D19" i="2"/>
  <c r="E18" i="2"/>
  <c r="H68" i="1"/>
  <c r="H78" i="1"/>
  <c r="H74" i="1"/>
  <c r="H63" i="1"/>
  <c r="C66" i="1"/>
  <c r="H66" i="1" s="1"/>
  <c r="H25" i="1"/>
  <c r="C84" i="1"/>
  <c r="H84" i="1" s="1"/>
  <c r="H16" i="1"/>
  <c r="F75" i="1"/>
  <c r="H75" i="1" s="1"/>
  <c r="C71" i="1"/>
  <c r="H71" i="1" s="1"/>
  <c r="H30" i="1"/>
  <c r="C62" i="1"/>
  <c r="H62" i="1" s="1"/>
  <c r="H21" i="1"/>
  <c r="F77" i="1"/>
  <c r="H77" i="1" s="1"/>
  <c r="C73" i="1"/>
  <c r="H73" i="1" s="1"/>
  <c r="C64" i="1"/>
  <c r="H64" i="1" s="1"/>
  <c r="C69" i="1"/>
  <c r="H69" i="1" s="1"/>
  <c r="C60" i="1"/>
  <c r="H60" i="1" s="1"/>
  <c r="D20" i="2" l="1"/>
  <c r="E19" i="2"/>
  <c r="H37" i="1"/>
  <c r="H86" i="1"/>
  <c r="H38" i="1" l="1"/>
  <c r="H87" i="1"/>
  <c r="D21" i="2"/>
  <c r="E20" i="2"/>
  <c r="H88" i="1" l="1"/>
  <c r="H39" i="1"/>
  <c r="D22" i="2"/>
  <c r="E21" i="2"/>
  <c r="H89" i="1" l="1"/>
  <c r="H40" i="1"/>
  <c r="D23" i="2"/>
  <c r="E22" i="2"/>
  <c r="H90" i="1" l="1"/>
  <c r="H41" i="1"/>
  <c r="D24" i="2"/>
  <c r="E23" i="2"/>
  <c r="H91" i="1" l="1"/>
  <c r="H42" i="1"/>
  <c r="D25" i="2"/>
  <c r="E24" i="2"/>
  <c r="H92" i="1" l="1"/>
  <c r="H43" i="1"/>
  <c r="E25" i="2"/>
  <c r="D26" i="2"/>
  <c r="D27" i="2" l="1"/>
  <c r="E26" i="2"/>
  <c r="H93" i="1"/>
  <c r="H44" i="1"/>
  <c r="H45" i="1" l="1"/>
  <c r="H94" i="1"/>
  <c r="D28" i="2"/>
  <c r="E27" i="2"/>
  <c r="D29" i="2" l="1"/>
  <c r="E28" i="2"/>
  <c r="H46" i="1"/>
  <c r="H95" i="1"/>
  <c r="H47" i="1" l="1"/>
  <c r="H96" i="1"/>
  <c r="D30" i="2"/>
  <c r="E29" i="2"/>
  <c r="D31" i="2" l="1"/>
  <c r="E30" i="2"/>
  <c r="H48" i="1"/>
  <c r="H97" i="1"/>
  <c r="H98" i="1" l="1"/>
  <c r="H49" i="1"/>
  <c r="D32" i="2"/>
  <c r="E31" i="2"/>
  <c r="H99" i="1" l="1"/>
  <c r="H50" i="1"/>
  <c r="D33" i="2"/>
  <c r="E32" i="2"/>
  <c r="D34" i="2" l="1"/>
  <c r="E33" i="2"/>
  <c r="H51" i="1"/>
  <c r="H100" i="1"/>
  <c r="H101" i="1" l="1"/>
  <c r="H52" i="1"/>
  <c r="D35" i="2"/>
  <c r="E34" i="2"/>
  <c r="H102" i="1" l="1"/>
  <c r="H53" i="1"/>
  <c r="D36" i="2"/>
  <c r="E36" i="2" s="1"/>
  <c r="E35" i="2"/>
  <c r="H55" i="1" l="1"/>
  <c r="H104" i="1"/>
  <c r="H103" i="1"/>
  <c r="H105" i="1" s="1"/>
  <c r="H54" i="1"/>
  <c r="H56" i="1" s="1"/>
</calcChain>
</file>

<file path=xl/sharedStrings.xml><?xml version="1.0" encoding="utf-8"?>
<sst xmlns="http://schemas.openxmlformats.org/spreadsheetml/2006/main" count="132" uniqueCount="91">
  <si>
    <t>Филиал</t>
  </si>
  <si>
    <t>Код строки ИПР</t>
  </si>
  <si>
    <t>Титул</t>
  </si>
  <si>
    <t>Прочее</t>
  </si>
  <si>
    <t>Текущие цены</t>
  </si>
  <si>
    <t>Год ввода</t>
  </si>
  <si>
    <t>В прогнозных ценах с учетом фактически выполненных работ  (с НДС)</t>
  </si>
  <si>
    <t>№ п/п</t>
  </si>
  <si>
    <t>Наименование</t>
  </si>
  <si>
    <t xml:space="preserve">ПИР </t>
  </si>
  <si>
    <t xml:space="preserve">СМР </t>
  </si>
  <si>
    <t>ПНР</t>
  </si>
  <si>
    <t>Оборудование</t>
  </si>
  <si>
    <t>Итого</t>
  </si>
  <si>
    <t>Плановая стоимость объекта в прогнозных ценах года окончания строительства</t>
  </si>
  <si>
    <t>ФАКТ В ПРЕДЫДУЩИЕ ПЕРИОДЫ (с НДС)</t>
  </si>
  <si>
    <t>ПИР</t>
  </si>
  <si>
    <t>СМР</t>
  </si>
  <si>
    <t>Оборуд</t>
  </si>
  <si>
    <t>Структура</t>
  </si>
  <si>
    <t>№</t>
  </si>
  <si>
    <t>Индекс</t>
  </si>
  <si>
    <t>Год_Осв</t>
  </si>
  <si>
    <t>Колво</t>
  </si>
  <si>
    <t>Прочее_Тип</t>
  </si>
  <si>
    <t>Метод</t>
  </si>
  <si>
    <t>Сборник</t>
  </si>
  <si>
    <t>ПИР_тек</t>
  </si>
  <si>
    <t>СМР_тек</t>
  </si>
  <si>
    <t>ПНР_тек</t>
  </si>
  <si>
    <t>Обор_тек</t>
  </si>
  <si>
    <t>Прочее_тек</t>
  </si>
  <si>
    <t>Сумма_тек</t>
  </si>
  <si>
    <t>Удел Тек</t>
  </si>
  <si>
    <t>НДС</t>
  </si>
  <si>
    <t>3 кв 2021</t>
  </si>
  <si>
    <t>M_ТГС-015-001</t>
  </si>
  <si>
    <t>Техперевооружение КЛ 6 кВ РП 6/0,4 кВ №65 - ф.8Б ПС 110/6 кВ 17 Щегловская с заменой кабеля (протяженность 1,744 км)</t>
  </si>
  <si>
    <t>ТГЭС</t>
  </si>
  <si>
    <t>год</t>
  </si>
  <si>
    <t>Фактические затраты с_____по _____ год</t>
  </si>
  <si>
    <t>если N&lt;K: текущая стоимость умножается на 1;</t>
  </si>
  <si>
    <t>если N=K: текущая стоимость умножается на половину дефлятора года N;</t>
  </si>
  <si>
    <t>если N&gt;K  (год освоения по строке ИПР больше года уровня цен в п.5 смета): текущая стоимость умножается на половину дефлятора года N и на перемножение целых дефляторов до года К включительно;</t>
  </si>
  <si>
    <t>Плановая полная стоимость объекта в прогнозных ценах без учета НДС</t>
  </si>
  <si>
    <t>Расчет полной прогнозной стоимости проекта (без учета НДС) в  соответствии с приказом Минэнерго России №380 от 05.05.2016 г.</t>
  </si>
  <si>
    <t>Расчет полной прогнозной стоимости проекта (с учетом НДС) в  соответствии с приказом Минэнерго России №380 от 05.05.2016 г.</t>
  </si>
  <si>
    <t>Оценка полной стоимости инвестиционного проекта в прогнозных ценах соответствующих лет 
(в том числе: ФОТ, ТЗП, факт выполненных работ и заемного финансирования)</t>
  </si>
  <si>
    <t>Факт выполненных работ, с учетом НДС</t>
  </si>
  <si>
    <t>Прочие затраты, без учета НДС</t>
  </si>
  <si>
    <t>Проценты по заемным средствам</t>
  </si>
  <si>
    <t>Финансирование ВСЕГО</t>
  </si>
  <si>
    <t>Плановая полная стоимость объекта в прогнозных ценах с учётом НДС</t>
  </si>
  <si>
    <t>Прочие затраты, без учета НДС(Сумма всех прочих затрат, по которым в финансировании 0% НДС)</t>
  </si>
  <si>
    <t>Проценты по заемным средствам
(Из финансирования: Проценты НДС 0%)</t>
  </si>
  <si>
    <t>Факт выполненных работ, с учетом НДС
(сумма всех затрат профинансированных до текущего года)</t>
  </si>
  <si>
    <t>Год</t>
  </si>
  <si>
    <t>Дефлятор</t>
  </si>
  <si>
    <t>(1+дефлятор)/2</t>
  </si>
  <si>
    <t>Произведение дефляторов до Года - 1</t>
  </si>
  <si>
    <t>Коэф</t>
  </si>
  <si>
    <t>Формула</t>
  </si>
  <si>
    <t>Стоимость проекта согласно утвержденной ПСД/Укрупненного расчета стоимости  (в ценах на 01.01.2001 г.)</t>
  </si>
  <si>
    <t>прочие</t>
  </si>
  <si>
    <t>влэп</t>
  </si>
  <si>
    <t>клэп</t>
  </si>
  <si>
    <t>Индексы изменения сметной стоимости от цен на момент составления расчета</t>
  </si>
  <si>
    <t>ПИР_баз</t>
  </si>
  <si>
    <t>СМР_баз</t>
  </si>
  <si>
    <t>ПНР_баз</t>
  </si>
  <si>
    <t>Обор_баз</t>
  </si>
  <si>
    <t>Прочее_баз</t>
  </si>
  <si>
    <t>тек</t>
  </si>
  <si>
    <t>Индексы изменения сметной стоимости от цен на момент составления расчета к СНБ 2001 г. (ВЛЭП)</t>
  </si>
  <si>
    <t>Индексы изменения сметной стоимости от цен на момент составления расчета к СНБ 2001 г. (КЛЭП)</t>
  </si>
  <si>
    <t>Индексы изменения сметной стоимости от цен на момент составления расчета к СНБ 2001 г. (Прочие)</t>
  </si>
  <si>
    <t>Сводка затрат</t>
  </si>
  <si>
    <t>Заголовок</t>
  </si>
  <si>
    <t>где,  К - год следующий за годом составления утвержденной сметной документации (сметного расчета), год уровня текущихцен в п.5 смета; N – год освоения по строке ИПР, отражённой в п.5 смета</t>
  </si>
  <si>
    <t>КЛЭП</t>
  </si>
  <si>
    <t>ИПР М380</t>
  </si>
  <si>
    <t>Нет</t>
  </si>
  <si>
    <t>(1.051003564654480+1)/2</t>
  </si>
  <si>
    <t>(1.049001762230180+1)/2*1.051003564654480</t>
  </si>
  <si>
    <t>(1.047000273037250+1)/2*1.051003564654480*1.049001762230180</t>
  </si>
  <si>
    <t>(1.047000273037250+1)/2*1.051003564654480*1.049001762230180*1.047000273037250</t>
  </si>
  <si>
    <t>(1.047000273037250+1)/2*1.051003564654480*1.049001762230180*1.047000273037250*1.047000273037250</t>
  </si>
  <si>
    <t>(1.047000273037250+1)/2*1.051003564654480*1.049001762230180*1.047000273037250*1.047000273037250*1.047000273037250</t>
  </si>
  <si>
    <t>(1.047000273037250+1)/2*1.051003564654480*1.049001762230180*1.047000273037250*1.047000273037250*1.047000273037250*1.047000273037250</t>
  </si>
  <si>
    <t>(1.047000273037250+1)/2*1.051003564654480*1.049001762230180*1.047000273037250*1.047000273037250*1.047000273037250*1.047000273037250*1.047000273037250</t>
  </si>
  <si>
    <t>(1.047000273037250+1)/2*1.051003564654480*1.049001762230180*1.047000273037250*1.047000273037250*1.047000273037250*1.047000273037250*1.047000273037250*1.047000273037250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</si>
</sst>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164" formatCode="_-* #,##0.00_р_._-;\-* #,##0.00_р_._-;_-* &quot;-&quot;??_р_._-;_-@_-"/>
    <numFmt numFmtId="165" formatCode="0.0000"/>
    <numFmt numFmtId="166" formatCode="0.000"/>
    <numFmt numFmtId="167" formatCode="#,##0.000"/>
    <numFmt numFmtId="168" formatCode="0.000000000000"/>
    <numFmt numFmtId="169" formatCode="#,##0.00000000000000"/>
  </numFmts>
  <fonts count="24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</font>
    <font>
      <sz val="14"/>
      <color theme="1"/>
      <name val="Cambria"/>
      <family val="1"/>
      <charset val="204"/>
    </font>
    <font>
      <sz val="11"/>
      <color theme="1"/>
      <name val="Cambria"/>
      <family val="1"/>
      <charset val="204"/>
    </font>
    <font>
      <b/>
      <sz val="11"/>
      <color theme="1"/>
      <name val="Cambria"/>
      <family val="1"/>
      <charset val="204"/>
    </font>
    <font>
      <sz val="10"/>
      <color theme="1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2"/>
      <color theme="1"/>
      <name val="Cambria"/>
      <family val="1"/>
      <charset val="204"/>
    </font>
    <font>
      <sz val="9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indexed="8"/>
      <name val="Calibri"/>
      <family val="2"/>
      <charset val="204"/>
    </font>
    <font>
      <b/>
      <sz val="18"/>
      <color theme="1"/>
      <name val="Cambria"/>
      <family val="1"/>
      <charset val="204"/>
    </font>
    <font>
      <i/>
      <sz val="8"/>
      <color theme="1"/>
      <name val="Calibri"/>
      <family val="2"/>
      <charset val="204"/>
    </font>
    <font>
      <sz val="10"/>
      <color rgb="FFFF0000"/>
      <name val="Calibri"/>
      <family val="2"/>
      <charset val="204"/>
    </font>
    <font>
      <b/>
      <sz val="10"/>
      <color rgb="FFFF0000"/>
      <name val="Calibri"/>
      <family val="2"/>
      <charset val="204"/>
    </font>
    <font>
      <b/>
      <sz val="11"/>
      <color rgb="FFFF000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8"/>
      <color theme="3"/>
      <name val="Calibri"/>
      <family val="2"/>
      <charset val="204"/>
      <scheme val="minor"/>
    </font>
    <font>
      <b/>
      <sz val="9"/>
      <color theme="3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i/>
      <sz val="12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4" fontId="23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9" fillId="0" borderId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3" fillId="0" borderId="0"/>
  </cellStyleXfs>
  <cellXfs count="104">
    <xf numFmtId="0" fontId="0" fillId="0" borderId="0" xfId="0"/>
    <xf numFmtId="0" fontId="17" fillId="0" borderId="21" xfId="13" applyFont="1" applyFill="1" applyBorder="1" applyAlignment="1">
      <alignment horizontal="left" vertical="center" wrapText="1"/>
    </xf>
    <xf numFmtId="0" fontId="17" fillId="0" borderId="14" xfId="13" applyFont="1" applyFill="1" applyBorder="1" applyAlignment="1">
      <alignment horizontal="left" vertical="center" wrapText="1"/>
    </xf>
    <xf numFmtId="0" fontId="4" fillId="0" borderId="0" xfId="13" applyFont="1" applyAlignment="1">
      <alignment horizontal="left" vertical="top" wrapText="1"/>
    </xf>
    <xf numFmtId="165" fontId="14" fillId="0" borderId="15" xfId="13" applyNumberFormat="1" applyFont="1" applyBorder="1" applyAlignment="1">
      <alignment horizontal="left" vertical="center"/>
    </xf>
    <xf numFmtId="165" fontId="14" fillId="0" borderId="21" xfId="13" applyNumberFormat="1" applyFont="1" applyBorder="1" applyAlignment="1">
      <alignment horizontal="left" vertical="center"/>
    </xf>
    <xf numFmtId="165" fontId="14" fillId="0" borderId="14" xfId="13" applyNumberFormat="1" applyFont="1" applyBorder="1" applyAlignment="1">
      <alignment horizontal="left" vertical="center"/>
    </xf>
    <xf numFmtId="0" fontId="4" fillId="0" borderId="22" xfId="13" applyFont="1" applyFill="1" applyBorder="1" applyAlignment="1">
      <alignment horizontal="center" vertical="center"/>
    </xf>
    <xf numFmtId="0" fontId="12" fillId="0" borderId="0" xfId="13" applyFont="1" applyFill="1" applyAlignment="1">
      <alignment horizontal="center" vertical="center"/>
    </xf>
    <xf numFmtId="0" fontId="13" fillId="3" borderId="15" xfId="13" applyFont="1" applyFill="1" applyBorder="1" applyAlignment="1">
      <alignment horizontal="left" vertical="center" wrapText="1"/>
    </xf>
    <xf numFmtId="0" fontId="13" fillId="3" borderId="21" xfId="13" applyFont="1" applyFill="1" applyBorder="1" applyAlignment="1">
      <alignment horizontal="left" vertical="center" wrapText="1"/>
    </xf>
    <xf numFmtId="0" fontId="13" fillId="3" borderId="14" xfId="13" applyFont="1" applyFill="1" applyBorder="1" applyAlignment="1">
      <alignment horizontal="left" vertical="center" wrapText="1"/>
    </xf>
    <xf numFmtId="165" fontId="5" fillId="0" borderId="15" xfId="13" applyNumberFormat="1" applyFont="1" applyFill="1" applyBorder="1" applyAlignment="1">
      <alignment horizontal="left" vertical="center"/>
    </xf>
    <xf numFmtId="165" fontId="5" fillId="0" borderId="21" xfId="13" applyNumberFormat="1" applyFont="1" applyFill="1" applyBorder="1" applyAlignment="1">
      <alignment horizontal="left" vertical="center"/>
    </xf>
    <xf numFmtId="165" fontId="5" fillId="0" borderId="14" xfId="13" applyNumberFormat="1" applyFont="1" applyFill="1" applyBorder="1" applyAlignment="1">
      <alignment horizontal="left" vertical="center"/>
    </xf>
    <xf numFmtId="0" fontId="2" fillId="0" borderId="0" xfId="13" applyFont="1" applyAlignment="1">
      <alignment vertical="center"/>
    </xf>
    <xf numFmtId="0" fontId="3" fillId="0" borderId="0" xfId="13" applyFont="1" applyAlignment="1">
      <alignment vertical="center"/>
    </xf>
    <xf numFmtId="0" fontId="3" fillId="0" borderId="0" xfId="13" applyFont="1" applyAlignment="1">
      <alignment vertical="center" wrapText="1"/>
    </xf>
    <xf numFmtId="0" fontId="4" fillId="0" borderId="0" xfId="13" applyFont="1" applyAlignment="1">
      <alignment vertical="center" wrapText="1"/>
    </xf>
    <xf numFmtId="0" fontId="4" fillId="0" borderId="0" xfId="13" applyFont="1" applyAlignment="1">
      <alignment horizontal="left" vertical="center"/>
    </xf>
    <xf numFmtId="0" fontId="5" fillId="0" borderId="1" xfId="13" applyFont="1" applyBorder="1" applyAlignment="1">
      <alignment horizontal="center" vertical="center" wrapText="1"/>
    </xf>
    <xf numFmtId="0" fontId="5" fillId="0" borderId="2" xfId="13" applyFont="1" applyBorder="1" applyAlignment="1">
      <alignment horizontal="center" vertical="center" wrapText="1"/>
    </xf>
    <xf numFmtId="0" fontId="5" fillId="0" borderId="3" xfId="13" applyFont="1" applyBorder="1" applyAlignment="1">
      <alignment horizontal="center" vertical="center" wrapText="1"/>
    </xf>
    <xf numFmtId="0" fontId="6" fillId="0" borderId="3" xfId="13" applyFont="1" applyBorder="1" applyAlignment="1">
      <alignment horizontal="center" vertical="center" wrapText="1"/>
    </xf>
    <xf numFmtId="0" fontId="5" fillId="0" borderId="4" xfId="13" applyFont="1" applyBorder="1" applyAlignment="1">
      <alignment horizontal="justify" vertical="center" wrapText="1"/>
    </xf>
    <xf numFmtId="0" fontId="5" fillId="0" borderId="5" xfId="13" applyFont="1" applyBorder="1" applyAlignment="1">
      <alignment horizontal="justify" vertical="center" wrapText="1"/>
    </xf>
    <xf numFmtId="0" fontId="5" fillId="0" borderId="6" xfId="13" applyFont="1" applyBorder="1" applyAlignment="1">
      <alignment horizontal="center" vertical="center" wrapText="1"/>
    </xf>
    <xf numFmtId="0" fontId="5" fillId="0" borderId="7" xfId="13" applyFont="1" applyBorder="1" applyAlignment="1">
      <alignment horizontal="center" vertical="center" wrapText="1"/>
    </xf>
    <xf numFmtId="0" fontId="5" fillId="0" borderId="8" xfId="13" applyFont="1" applyBorder="1" applyAlignment="1">
      <alignment horizontal="center" vertical="center" wrapText="1"/>
    </xf>
    <xf numFmtId="0" fontId="5" fillId="0" borderId="9" xfId="13" applyFont="1" applyBorder="1" applyAlignment="1">
      <alignment horizontal="center" vertical="center" wrapText="1"/>
    </xf>
    <xf numFmtId="0" fontId="7" fillId="0" borderId="0" xfId="13" applyFont="1" applyAlignment="1">
      <alignment vertical="center" wrapText="1"/>
    </xf>
    <xf numFmtId="0" fontId="7" fillId="0" borderId="0" xfId="13" applyFont="1" applyFill="1" applyBorder="1" applyAlignment="1">
      <alignment vertical="center" wrapText="1"/>
    </xf>
    <xf numFmtId="166" fontId="0" fillId="0" borderId="0" xfId="13" applyNumberFormat="1" applyFont="1"/>
    <xf numFmtId="0" fontId="5" fillId="0" borderId="0" xfId="13" applyFont="1" applyBorder="1" applyAlignment="1">
      <alignment vertical="center"/>
    </xf>
    <xf numFmtId="2" fontId="5" fillId="0" borderId="4" xfId="13" applyNumberFormat="1" applyFont="1" applyFill="1" applyBorder="1" applyAlignment="1">
      <alignment horizontal="center" vertical="center" wrapText="1"/>
    </xf>
    <xf numFmtId="165" fontId="7" fillId="0" borderId="0" xfId="13" applyNumberFormat="1" applyFont="1" applyFill="1" applyAlignment="1">
      <alignment horizontal="left" vertical="center"/>
    </xf>
    <xf numFmtId="0" fontId="7" fillId="0" borderId="0" xfId="13" applyFont="1" applyFill="1" applyAlignment="1">
      <alignment horizontal="left" vertical="center"/>
    </xf>
    <xf numFmtId="1" fontId="7" fillId="0" borderId="0" xfId="13" applyNumberFormat="1" applyFont="1" applyFill="1" applyAlignment="1">
      <alignment horizontal="left" vertical="center"/>
    </xf>
    <xf numFmtId="4" fontId="6" fillId="0" borderId="10" xfId="4" applyNumberFormat="1" applyFont="1" applyBorder="1" applyAlignment="1">
      <alignment horizontal="center" vertical="center" wrapText="1"/>
    </xf>
    <xf numFmtId="0" fontId="8" fillId="0" borderId="11" xfId="6" applyFont="1" applyFill="1" applyBorder="1" applyAlignment="1">
      <alignment horizontal="left" wrapText="1"/>
    </xf>
    <xf numFmtId="4" fontId="8" fillId="0" borderId="11" xfId="6" applyNumberFormat="1" applyFont="1" applyFill="1" applyBorder="1" applyAlignment="1">
      <alignment horizontal="left" wrapText="1"/>
    </xf>
    <xf numFmtId="2" fontId="5" fillId="0" borderId="0" xfId="13" applyNumberFormat="1" applyFont="1" applyFill="1" applyBorder="1" applyAlignment="1">
      <alignment horizontal="center" vertical="center" wrapText="1"/>
    </xf>
    <xf numFmtId="0" fontId="5" fillId="0" borderId="9" xfId="13" applyFont="1" applyFill="1" applyBorder="1" applyAlignment="1">
      <alignment horizontal="center" vertical="center" wrapText="1"/>
    </xf>
    <xf numFmtId="4" fontId="6" fillId="0" borderId="10" xfId="4" applyNumberFormat="1" applyFont="1" applyFill="1" applyBorder="1" applyAlignment="1">
      <alignment horizontal="center" vertical="center" wrapText="1"/>
    </xf>
    <xf numFmtId="0" fontId="0" fillId="0" borderId="0" xfId="13" applyFont="1" applyFill="1"/>
    <xf numFmtId="0" fontId="3" fillId="0" borderId="0" xfId="13" applyFont="1" applyFill="1" applyAlignment="1">
      <alignment vertical="center" wrapText="1"/>
    </xf>
    <xf numFmtId="0" fontId="4" fillId="0" borderId="0" xfId="13" applyFont="1" applyFill="1" applyAlignment="1">
      <alignment vertical="center" wrapText="1"/>
    </xf>
    <xf numFmtId="4" fontId="6" fillId="0" borderId="10" xfId="13" applyNumberFormat="1" applyFont="1" applyFill="1" applyBorder="1" applyAlignment="1">
      <alignment horizontal="center" vertical="center" wrapText="1"/>
    </xf>
    <xf numFmtId="0" fontId="11" fillId="2" borderId="12" xfId="6" applyFont="1" applyFill="1" applyBorder="1" applyAlignment="1">
      <alignment horizontal="center"/>
    </xf>
    <xf numFmtId="0" fontId="5" fillId="0" borderId="4" xfId="13" applyFont="1" applyFill="1" applyBorder="1" applyAlignment="1">
      <alignment horizontal="justify" vertical="center" wrapText="1"/>
    </xf>
    <xf numFmtId="4" fontId="6" fillId="0" borderId="10" xfId="4" applyNumberFormat="1" applyFont="1" applyFill="1" applyBorder="1" applyAlignment="1">
      <alignment horizontal="center" vertical="center"/>
    </xf>
    <xf numFmtId="0" fontId="5" fillId="3" borderId="9" xfId="13" applyFont="1" applyFill="1" applyBorder="1" applyAlignment="1">
      <alignment horizontal="center" vertical="center" wrapText="1"/>
    </xf>
    <xf numFmtId="0" fontId="13" fillId="3" borderId="4" xfId="13" applyFont="1" applyFill="1" applyBorder="1" applyAlignment="1">
      <alignment horizontal="justify" vertical="center" wrapText="1"/>
    </xf>
    <xf numFmtId="2" fontId="13" fillId="3" borderId="4" xfId="13" applyNumberFormat="1" applyFont="1" applyFill="1" applyBorder="1" applyAlignment="1">
      <alignment horizontal="center" vertical="center" wrapText="1"/>
    </xf>
    <xf numFmtId="4" fontId="15" fillId="0" borderId="10" xfId="4" applyNumberFormat="1" applyFont="1" applyBorder="1" applyAlignment="1">
      <alignment horizontal="center" vertical="center" wrapText="1"/>
    </xf>
    <xf numFmtId="0" fontId="16" fillId="0" borderId="0" xfId="13" applyFont="1"/>
    <xf numFmtId="166" fontId="0" fillId="0" borderId="0" xfId="13" applyNumberFormat="1" applyFont="1"/>
    <xf numFmtId="0" fontId="16" fillId="4" borderId="0" xfId="13" applyFont="1" applyFill="1"/>
    <xf numFmtId="0" fontId="0" fillId="4" borderId="0" xfId="13" applyFont="1" applyFill="1"/>
    <xf numFmtId="0" fontId="18" fillId="5" borderId="0" xfId="13" applyFont="1" applyFill="1"/>
    <xf numFmtId="0" fontId="19" fillId="0" borderId="0" xfId="13" applyFont="1"/>
    <xf numFmtId="1" fontId="22" fillId="6" borderId="0" xfId="13" applyNumberFormat="1" applyFont="1" applyFill="1" applyAlignment="1">
      <alignment horizontal="left"/>
    </xf>
    <xf numFmtId="166" fontId="0" fillId="6" borderId="4" xfId="13" applyNumberFormat="1" applyFont="1" applyFill="1" applyBorder="1"/>
    <xf numFmtId="166" fontId="0" fillId="6" borderId="4" xfId="13" applyNumberFormat="1" applyFont="1" applyFill="1" applyBorder="1" applyAlignment="1"/>
    <xf numFmtId="0" fontId="0" fillId="6" borderId="0" xfId="13" applyFont="1" applyFill="1"/>
    <xf numFmtId="166" fontId="13" fillId="3" borderId="4" xfId="13" applyNumberFormat="1" applyFont="1" applyFill="1" applyBorder="1" applyAlignment="1">
      <alignment horizontal="center" vertical="center" wrapText="1"/>
    </xf>
    <xf numFmtId="167" fontId="6" fillId="0" borderId="10" xfId="4" applyNumberFormat="1" applyFont="1" applyBorder="1" applyAlignment="1">
      <alignment horizontal="center" vertical="center" wrapText="1"/>
    </xf>
    <xf numFmtId="166" fontId="13" fillId="3" borderId="10" xfId="13" applyNumberFormat="1" applyFont="1" applyFill="1" applyBorder="1" applyAlignment="1">
      <alignment horizontal="center" vertical="center" wrapText="1"/>
    </xf>
    <xf numFmtId="0" fontId="5" fillId="3" borderId="4" xfId="13" applyFont="1" applyFill="1" applyBorder="1" applyAlignment="1">
      <alignment horizontal="center" vertical="center" wrapText="1"/>
    </xf>
    <xf numFmtId="0" fontId="0" fillId="0" borderId="0" xfId="13" applyFont="1" applyFill="1"/>
    <xf numFmtId="0" fontId="20" fillId="6" borderId="0" xfId="13" applyFont="1" applyFill="1" applyAlignment="1">
      <alignment vertical="center"/>
    </xf>
    <xf numFmtId="0" fontId="21" fillId="6" borderId="0" xfId="13" applyFont="1" applyFill="1" applyAlignment="1">
      <alignment vertical="center"/>
    </xf>
    <xf numFmtId="0" fontId="0" fillId="6" borderId="4" xfId="13" applyFont="1" applyFill="1" applyBorder="1"/>
    <xf numFmtId="0" fontId="10" fillId="6" borderId="4" xfId="13" applyFont="1" applyFill="1" applyBorder="1"/>
    <xf numFmtId="4" fontId="0" fillId="6" borderId="13" xfId="13" applyNumberFormat="1" applyFont="1" applyFill="1" applyBorder="1"/>
    <xf numFmtId="166" fontId="0" fillId="0" borderId="14" xfId="13" applyNumberFormat="1" applyFont="1" applyFill="1" applyBorder="1" applyAlignment="1">
      <alignment horizontal="center"/>
    </xf>
    <xf numFmtId="166" fontId="0" fillId="0" borderId="15" xfId="13" applyNumberFormat="1" applyFont="1" applyFill="1" applyBorder="1" applyAlignment="1">
      <alignment horizontal="center"/>
    </xf>
    <xf numFmtId="0" fontId="7" fillId="4" borderId="0" xfId="13" applyFont="1" applyFill="1" applyAlignment="1">
      <alignment horizontal="left" vertical="center"/>
    </xf>
    <xf numFmtId="0" fontId="0" fillId="0" borderId="15" xfId="13" applyFont="1" applyBorder="1"/>
    <xf numFmtId="0" fontId="0" fillId="0" borderId="16" xfId="13" applyFont="1" applyBorder="1"/>
    <xf numFmtId="0" fontId="0" fillId="0" borderId="17" xfId="13" applyFont="1" applyBorder="1" applyAlignment="1">
      <alignment horizontal="center"/>
    </xf>
    <xf numFmtId="0" fontId="0" fillId="0" borderId="18" xfId="13" applyFont="1" applyBorder="1"/>
    <xf numFmtId="166" fontId="0" fillId="0" borderId="19" xfId="13" applyNumberFormat="1" applyFont="1" applyFill="1" applyBorder="1" applyAlignment="1">
      <alignment horizontal="center"/>
    </xf>
    <xf numFmtId="0" fontId="0" fillId="0" borderId="20" xfId="13" applyFont="1" applyBorder="1"/>
    <xf numFmtId="0" fontId="0" fillId="0" borderId="21" xfId="13" applyFont="1" applyBorder="1" applyAlignment="1">
      <alignment horizontal="center"/>
    </xf>
    <xf numFmtId="0" fontId="0" fillId="0" borderId="21" xfId="13" applyFont="1" applyBorder="1"/>
    <xf numFmtId="2" fontId="5" fillId="7" borderId="4" xfId="13" applyNumberFormat="1" applyFont="1" applyFill="1" applyBorder="1" applyAlignment="1">
      <alignment horizontal="center" vertical="center" wrapText="1"/>
    </xf>
    <xf numFmtId="2" fontId="5" fillId="7" borderId="0" xfId="13" applyNumberFormat="1" applyFont="1" applyFill="1" applyBorder="1" applyAlignment="1">
      <alignment horizontal="center" vertical="center" wrapText="1"/>
    </xf>
    <xf numFmtId="0" fontId="11" fillId="7" borderId="12" xfId="6" applyNumberFormat="1" applyFont="1" applyFill="1" applyBorder="1" applyAlignment="1">
      <alignment horizontal="center"/>
    </xf>
    <xf numFmtId="0" fontId="8" fillId="8" borderId="11" xfId="6" applyNumberFormat="1" applyFont="1" applyFill="1" applyBorder="1" applyAlignment="1">
      <alignment horizontal="left" wrapText="1"/>
    </xf>
    <xf numFmtId="0" fontId="0" fillId="7" borderId="4" xfId="13" applyFont="1" applyFill="1" applyBorder="1"/>
    <xf numFmtId="0" fontId="7" fillId="9" borderId="0" xfId="13" applyFont="1" applyFill="1" applyAlignment="1">
      <alignment horizontal="left" vertical="center"/>
    </xf>
    <xf numFmtId="168" fontId="13" fillId="3" borderId="4" xfId="13" applyNumberFormat="1" applyFont="1" applyFill="1" applyBorder="1" applyAlignment="1">
      <alignment horizontal="center" vertical="center" wrapText="1"/>
    </xf>
    <xf numFmtId="169" fontId="6" fillId="0" borderId="10" xfId="4" applyNumberFormat="1" applyFont="1" applyBorder="1" applyAlignment="1">
      <alignment horizontal="center" vertical="center" wrapText="1"/>
    </xf>
    <xf numFmtId="0" fontId="17" fillId="0" borderId="15" xfId="13" applyFont="1" applyFill="1" applyBorder="1" applyAlignment="1">
      <alignment horizontal="left" vertical="center" wrapText="1"/>
    </xf>
    <xf numFmtId="1" fontId="13" fillId="3" borderId="14" xfId="13" applyNumberFormat="1" applyFont="1" applyFill="1" applyBorder="1" applyAlignment="1">
      <alignment horizontal="left" vertical="center" wrapText="1"/>
    </xf>
    <xf numFmtId="0" fontId="6" fillId="0" borderId="4" xfId="13" applyFont="1" applyBorder="1" applyAlignment="1">
      <alignment horizontal="left" vertical="center" wrapText="1"/>
    </xf>
    <xf numFmtId="0" fontId="13" fillId="3" borderId="4" xfId="13" applyFont="1" applyFill="1" applyBorder="1" applyAlignment="1">
      <alignment horizontal="left" vertical="center" wrapText="1"/>
    </xf>
    <xf numFmtId="0" fontId="17" fillId="0" borderId="4" xfId="13" applyFont="1" applyFill="1" applyBorder="1" applyAlignment="1">
      <alignment horizontal="left" vertical="center" wrapText="1"/>
    </xf>
    <xf numFmtId="0" fontId="0" fillId="6" borderId="14" xfId="13" applyFont="1" applyFill="1" applyBorder="1" applyAlignment="1">
      <alignment horizontal="center" wrapText="1"/>
    </xf>
    <xf numFmtId="0" fontId="0" fillId="6" borderId="15" xfId="13" applyFont="1" applyFill="1" applyBorder="1" applyAlignment="1">
      <alignment horizontal="center" wrapText="1"/>
    </xf>
    <xf numFmtId="2" fontId="5" fillId="7" borderId="14" xfId="13" applyNumberFormat="1" applyFont="1" applyFill="1" applyBorder="1" applyAlignment="1">
      <alignment horizontal="center" vertical="center" wrapText="1"/>
    </xf>
    <xf numFmtId="2" fontId="5" fillId="7" borderId="21" xfId="13" applyNumberFormat="1" applyFont="1" applyFill="1" applyBorder="1" applyAlignment="1">
      <alignment horizontal="center" vertical="center" wrapText="1"/>
    </xf>
    <xf numFmtId="2" fontId="5" fillId="7" borderId="15" xfId="13" applyNumberFormat="1" applyFont="1" applyFill="1" applyBorder="1" applyAlignment="1">
      <alignment horizontal="center" vertical="center" wrapText="1"/>
    </xf>
  </cellXfs>
  <cellStyles count="14">
    <cellStyle name="Comma" xfId="4"/>
    <cellStyle name="Comma [0]" xfId="5"/>
    <cellStyle name="Comma [0] 2" xfId="10"/>
    <cellStyle name="Currency" xfId="2"/>
    <cellStyle name="Currency [0]" xfId="3"/>
    <cellStyle name="Currency [0] 2" xfId="8"/>
    <cellStyle name="Currency 2" xfId="7"/>
    <cellStyle name="Currency 3" xfId="11"/>
    <cellStyle name="Currency 4" xfId="12"/>
    <cellStyle name="Currency 5" xfId="9"/>
    <cellStyle name="Normal" xfId="13"/>
    <cellStyle name="Percent" xfId="1"/>
    <cellStyle name="Обычный" xfId="0" builtinId="0"/>
    <cellStyle name="Обычный_Лист2" xfId="6"/>
  </cellStyles>
  <dxfs count="12">
    <dxf>
      <font>
        <b val="0"/>
        <i val="0"/>
        <strike val="0"/>
        <u val="none"/>
        <sz val="11"/>
        <color auto="1"/>
        <name val="Calibri"/>
      </font>
      <numFmt numFmtId="1" formatCode="0"/>
      <fill>
        <patternFill patternType="solid">
          <bgColor theme="5" tint="0.59996337778862885"/>
        </patternFill>
      </fill>
      <alignment horizontal="left" vertical="bottom" textRotation="0" wrapText="0" shrinkToFit="0" readingOrder="0"/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solid">
          <bgColor theme="5" tint="0.59996337778862885"/>
        </patternFill>
      </fill>
      <alignment horizontal="general" vertical="bottom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</font>
      <alignment horizontal="center" vertical="center" textRotation="0" wrapText="1" shrinkToFit="0" readingOrder="0"/>
      <border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u val="none"/>
        <sz val="9"/>
        <color indexed="8"/>
        <name val="Calibri"/>
      </font>
      <fill>
        <patternFill patternType="none"/>
      </fill>
      <alignment horizontal="left" vertical="bottom" textRotation="0" wrapText="1" shrinkToFit="0" readingOrder="0"/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u val="none"/>
        <sz val="9"/>
        <color indexed="8"/>
        <name val="Calibri"/>
      </font>
      <fill>
        <patternFill patternType="none"/>
      </fill>
      <alignment horizontal="left" vertical="bottom" textRotation="0" wrapText="1" shrinkToFit="0" readingOrder="0"/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4" name="СтрокиРасчета" displayName="СтрокиРасчета" ref="A38:O40" totalsRowShown="0">
  <tableColumns count="15">
    <tableColumn id="1" name="№"/>
    <tableColumn id="2" name="Индекс"/>
    <tableColumn id="3" name="Год_Осв"/>
    <tableColumn id="16" name="Год ввода" dataDxfId="11"/>
    <tableColumn id="17" name="Колво" dataDxfId="10"/>
    <tableColumn id="4" name="ПИР_тек"/>
    <tableColumn id="5" name="СМР_тек"/>
    <tableColumn id="6" name="ПНР_тек"/>
    <tableColumn id="7" name="Обор_тек"/>
    <tableColumn id="8" name="Прочее_тек"/>
    <tableColumn id="9" name="Прочее_Тип"/>
    <tableColumn id="10" name="Сумма_тек"/>
    <tableColumn id="11" name="Метод"/>
    <tableColumn id="12" name="Удел Тек"/>
    <tableColumn id="13" name="Сборник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ПоГодам" displayName="ПоГодам" ref="R38:X58" totalsRowShown="0" headerRowDxfId="9">
  <tableColumns count="7">
    <tableColumn id="1" name="год"/>
    <tableColumn id="2" name="ПИР "/>
    <tableColumn id="3" name="СМР "/>
    <tableColumn id="4" name="ПНР"/>
    <tableColumn id="5" name="Оборудование"/>
    <tableColumn id="6" name="Прочее"/>
    <tableColumn id="7" name="Итого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" name="Дефляторы" displayName="Дефляторы" ref="A17:F36" totalsRowShown="0" headerRowBorderDxfId="8" tableBorderDxfId="7" totalsRowBorderDxfId="6">
  <autoFilter ref="A17:F36"/>
  <tableColumns count="6">
    <tableColumn id="1" name="Год" dataDxfId="5"/>
    <tableColumn id="2" name="Дефлятор" dataDxfId="4"/>
    <tableColumn id="3" name="(1+дефлятор)/2" dataDxfId="3">
      <calculatedColumnFormula>(B18+1)/2</calculatedColumnFormula>
    </tableColumn>
    <tableColumn id="4" name="Произведение дефляторов до Года - 1" dataDxfId="2">
      <calculatedColumnFormula>D17*B17</calculatedColumnFormula>
    </tableColumn>
    <tableColumn id="5" name="Коэф" dataDxfId="1">
      <calculatedColumnFormula>D18*C18</calculatedColumnFormula>
    </tableColumn>
    <tableColumn id="6" name="Формула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Расчет"/>
  <dimension ref="A1:J120"/>
  <sheetViews>
    <sheetView tabSelected="1" view="pageBreakPreview" topLeftCell="A70" zoomScaleNormal="100" zoomScaleSheetLayoutView="100" workbookViewId="0">
      <selection activeCell="H106" sqref="H106"/>
    </sheetView>
  </sheetViews>
  <sheetFormatPr defaultRowHeight="15" x14ac:dyDescent="0.25"/>
  <cols>
    <col min="1" max="1" width="5.85546875" customWidth="1"/>
    <col min="2" max="2" width="47.7109375" customWidth="1"/>
    <col min="3" max="3" width="17.140625" customWidth="1"/>
    <col min="4" max="4" width="13.5703125" customWidth="1"/>
    <col min="5" max="5" width="14.28515625" customWidth="1"/>
    <col min="6" max="6" width="13.140625" customWidth="1"/>
    <col min="7" max="7" width="12.7109375" customWidth="1"/>
    <col min="8" max="8" width="25" customWidth="1"/>
    <col min="9" max="9" width="9.140625" style="55"/>
  </cols>
  <sheetData>
    <row r="1" spans="1:8" ht="22.5" x14ac:dyDescent="0.25">
      <c r="B1" s="8" t="str">
        <f>Заголовок</f>
        <v>Сводка затрат</v>
      </c>
      <c r="C1" s="8"/>
      <c r="D1" s="8"/>
      <c r="E1" s="8"/>
      <c r="F1" s="8"/>
      <c r="G1" s="8"/>
    </row>
    <row r="2" spans="1:8" x14ac:dyDescent="0.25">
      <c r="B2" s="16"/>
    </row>
    <row r="3" spans="1:8" x14ac:dyDescent="0.25">
      <c r="B3" s="17" t="s">
        <v>0</v>
      </c>
      <c r="C3" s="19" t="str">
        <f>Филиал</f>
        <v>ТГЭС</v>
      </c>
    </row>
    <row r="4" spans="1:8" x14ac:dyDescent="0.25">
      <c r="B4" s="17" t="s">
        <v>1</v>
      </c>
      <c r="C4" s="19" t="str">
        <f>Код</f>
        <v>M_ТГС-015-001</v>
      </c>
    </row>
    <row r="5" spans="1:8" ht="81" customHeight="1" x14ac:dyDescent="0.25">
      <c r="B5" s="17" t="s">
        <v>2</v>
      </c>
      <c r="C5" s="3" t="str">
        <f>Титул</f>
        <v>Техперевооружение КЛ 6 кВ РП 6/0,4 кВ №65 - ф.8Б ПС 110/6 кВ 17 Щегловская с заменой кабеля (протяженность 1,744 км)</v>
      </c>
      <c r="D5" s="3"/>
      <c r="E5" s="3"/>
      <c r="F5" s="3"/>
      <c r="G5" s="3"/>
      <c r="H5" s="3"/>
    </row>
    <row r="6" spans="1:8" hidden="1" x14ac:dyDescent="0.25">
      <c r="B6" s="45"/>
      <c r="C6" s="46"/>
      <c r="D6" s="44"/>
      <c r="E6" s="44"/>
      <c r="F6" s="44"/>
    </row>
    <row r="7" spans="1:8" hidden="1" x14ac:dyDescent="0.25">
      <c r="B7" s="17"/>
      <c r="C7" s="18"/>
    </row>
    <row r="8" spans="1:8" hidden="1" x14ac:dyDescent="0.25">
      <c r="B8" s="17"/>
      <c r="C8" s="18"/>
    </row>
    <row r="9" spans="1:8" ht="18" customHeight="1" thickBot="1" x14ac:dyDescent="0.3">
      <c r="A9" s="7" t="s">
        <v>45</v>
      </c>
      <c r="B9" s="7"/>
      <c r="C9" s="7"/>
      <c r="D9" s="7"/>
      <c r="E9" s="7"/>
      <c r="F9" s="7"/>
      <c r="G9" s="7"/>
      <c r="H9" s="7"/>
    </row>
    <row r="10" spans="1:8" ht="25.5" x14ac:dyDescent="0.25">
      <c r="A10" s="26" t="s">
        <v>7</v>
      </c>
      <c r="B10" s="27" t="s">
        <v>8</v>
      </c>
      <c r="C10" s="27" t="s">
        <v>9</v>
      </c>
      <c r="D10" s="27" t="s">
        <v>10</v>
      </c>
      <c r="E10" s="27" t="s">
        <v>11</v>
      </c>
      <c r="F10" s="27" t="s">
        <v>12</v>
      </c>
      <c r="G10" s="27" t="s">
        <v>3</v>
      </c>
      <c r="H10" s="28" t="s">
        <v>13</v>
      </c>
    </row>
    <row r="11" spans="1:8" ht="38.25" x14ac:dyDescent="0.25">
      <c r="A11" s="42">
        <v>1</v>
      </c>
      <c r="B11" s="49" t="str">
        <f>"Стоимость проекта согласно утвержденной ПСД/Укрупненного расчета стоимости/Объекта Аналога (в ценах "&amp;Индекс_цен&amp;")"</f>
        <v>Стоимость проекта согласно утвержденной ПСД/Укрупненного расчета стоимости/Объекта Аналога (в ценах 3 кв 2021)</v>
      </c>
      <c r="C11" s="34">
        <f>SUM(СтрокиРасчета[ПИР_тек])</f>
        <v>855.59699999999998</v>
      </c>
      <c r="D11" s="34">
        <f>SUM(СтрокиРасчета[СМР_тек])</f>
        <v>9883.1370000000006</v>
      </c>
      <c r="E11" s="34">
        <f>SUM(СтрокиРасчета[ПНР_тек])</f>
        <v>6.085</v>
      </c>
      <c r="F11" s="34">
        <f>SUM(СтрокиРасчета[Обор_тек])</f>
        <v>0</v>
      </c>
      <c r="G11" s="34">
        <f>SUM(СтрокиРасчета[Прочее_тек])</f>
        <v>383.702</v>
      </c>
      <c r="H11" s="43">
        <f>SUM(C11:G11)</f>
        <v>11128.520999999999</v>
      </c>
    </row>
    <row r="12" spans="1:8" ht="26.25" hidden="1" customHeight="1" x14ac:dyDescent="0.25">
      <c r="A12" s="51"/>
      <c r="B12" s="52" t="str">
        <f>"В том числе планируемый объем освоения капитальных вложений на "&amp;Данные!$R$39&amp;" год"</f>
        <v>В том числе планируемый объем освоения капитальных вложений на 2012 год</v>
      </c>
      <c r="C12" s="53">
        <f>Данные!S39</f>
        <v>0</v>
      </c>
      <c r="D12" s="53">
        <f>Данные!T39</f>
        <v>0</v>
      </c>
      <c r="E12" s="53">
        <f>Данные!U39</f>
        <v>0</v>
      </c>
      <c r="F12" s="53">
        <f>Данные!V39</f>
        <v>0</v>
      </c>
      <c r="G12" s="53">
        <f>Данные!W39</f>
        <v>0</v>
      </c>
      <c r="H12" s="53">
        <f>SUM(C12:G12)</f>
        <v>0</v>
      </c>
    </row>
    <row r="13" spans="1:8" ht="22.5" hidden="1" x14ac:dyDescent="0.25">
      <c r="A13" s="51"/>
      <c r="B13" s="52" t="str">
        <f>"В том числе планируемый объем освоения капитальных вложений на "&amp;Данные!$R$40&amp;" год"</f>
        <v>В том числе планируемый объем освоения капитальных вложений на 2013 год</v>
      </c>
      <c r="C13" s="53">
        <f>Данные!S40</f>
        <v>0</v>
      </c>
      <c r="D13" s="53">
        <f>Данные!T40</f>
        <v>0</v>
      </c>
      <c r="E13" s="53">
        <f>Данные!U40</f>
        <v>0</v>
      </c>
      <c r="F13" s="53">
        <f>Данные!V40</f>
        <v>0</v>
      </c>
      <c r="G13" s="53">
        <f>Данные!W40</f>
        <v>0</v>
      </c>
      <c r="H13" s="53">
        <f t="shared" ref="H13:H30" si="0">SUM(C13:G13)</f>
        <v>0</v>
      </c>
    </row>
    <row r="14" spans="1:8" ht="22.5" hidden="1" x14ac:dyDescent="0.25">
      <c r="A14" s="51"/>
      <c r="B14" s="52" t="str">
        <f>"В том числе планируемый объем освоения капитальных вложений на "&amp;Данные!$R$41&amp;" год"</f>
        <v>В том числе планируемый объем освоения капитальных вложений на 2014 год</v>
      </c>
      <c r="C14" s="53">
        <f>Данные!S41</f>
        <v>0</v>
      </c>
      <c r="D14" s="53">
        <f>Данные!T41</f>
        <v>0</v>
      </c>
      <c r="E14" s="53">
        <f>Данные!U41</f>
        <v>0</v>
      </c>
      <c r="F14" s="53">
        <f>Данные!V41</f>
        <v>0</v>
      </c>
      <c r="G14" s="53">
        <f>Данные!W41</f>
        <v>0</v>
      </c>
      <c r="H14" s="53">
        <f t="shared" si="0"/>
        <v>0</v>
      </c>
    </row>
    <row r="15" spans="1:8" ht="22.5" hidden="1" x14ac:dyDescent="0.25">
      <c r="A15" s="51"/>
      <c r="B15" s="52" t="str">
        <f>"В том числе планируемый объем освоения капитальных вложений на "&amp;Данные!$R$42&amp;" год"</f>
        <v>В том числе планируемый объем освоения капитальных вложений на 2015 год</v>
      </c>
      <c r="C15" s="53">
        <f>Данные!S42</f>
        <v>0</v>
      </c>
      <c r="D15" s="53">
        <f>Данные!T42</f>
        <v>0</v>
      </c>
      <c r="E15" s="53">
        <f>Данные!U42</f>
        <v>0</v>
      </c>
      <c r="F15" s="53">
        <f>Данные!V42</f>
        <v>0</v>
      </c>
      <c r="G15" s="53">
        <f>Данные!W42</f>
        <v>0</v>
      </c>
      <c r="H15" s="53">
        <f t="shared" si="0"/>
        <v>0</v>
      </c>
    </row>
    <row r="16" spans="1:8" ht="22.5" hidden="1" x14ac:dyDescent="0.25">
      <c r="A16" s="51"/>
      <c r="B16" s="52" t="str">
        <f>"В том числе планируемый объем освоения капитальных вложений на "&amp;Данные!$R$43&amp;" год"</f>
        <v>В том числе планируемый объем освоения капитальных вложений на 2016 год</v>
      </c>
      <c r="C16" s="53">
        <f>Данные!S43</f>
        <v>0</v>
      </c>
      <c r="D16" s="53">
        <f>Данные!T43</f>
        <v>0</v>
      </c>
      <c r="E16" s="53">
        <f>Данные!U43</f>
        <v>0</v>
      </c>
      <c r="F16" s="53">
        <f>Данные!V43</f>
        <v>0</v>
      </c>
      <c r="G16" s="53">
        <f>Данные!W43</f>
        <v>0</v>
      </c>
      <c r="H16" s="53">
        <f t="shared" si="0"/>
        <v>0</v>
      </c>
    </row>
    <row r="17" spans="1:9" ht="22.5" hidden="1" x14ac:dyDescent="0.25">
      <c r="A17" s="51"/>
      <c r="B17" s="52" t="str">
        <f>"В том числе планируемый объем освоения капитальных вложений на "&amp;Данные!$R$44&amp;" год"</f>
        <v>В том числе планируемый объем освоения капитальных вложений на 2017 год</v>
      </c>
      <c r="C17" s="53">
        <f>Данные!S44</f>
        <v>0</v>
      </c>
      <c r="D17" s="53">
        <f>Данные!T44</f>
        <v>0</v>
      </c>
      <c r="E17" s="53">
        <f>Данные!U44</f>
        <v>0</v>
      </c>
      <c r="F17" s="53">
        <f>Данные!V44</f>
        <v>0</v>
      </c>
      <c r="G17" s="53">
        <f>Данные!W44</f>
        <v>0</v>
      </c>
      <c r="H17" s="53">
        <f t="shared" si="0"/>
        <v>0</v>
      </c>
    </row>
    <row r="18" spans="1:9" ht="22.5" hidden="1" x14ac:dyDescent="0.25">
      <c r="A18" s="51"/>
      <c r="B18" s="52" t="str">
        <f>"В том числе планируемый объем освоения капитальных вложений на "&amp;Данные!$R$45&amp;" год"</f>
        <v>В том числе планируемый объем освоения капитальных вложений на 2018 год</v>
      </c>
      <c r="C18" s="53">
        <f>Данные!S45</f>
        <v>0</v>
      </c>
      <c r="D18" s="53">
        <f>Данные!T45</f>
        <v>0</v>
      </c>
      <c r="E18" s="53">
        <f>Данные!U45</f>
        <v>0</v>
      </c>
      <c r="F18" s="53">
        <f>Данные!V45</f>
        <v>0</v>
      </c>
      <c r="G18" s="53">
        <f>Данные!W45</f>
        <v>0</v>
      </c>
      <c r="H18" s="53">
        <f t="shared" si="0"/>
        <v>0</v>
      </c>
    </row>
    <row r="19" spans="1:9" ht="22.5" hidden="1" x14ac:dyDescent="0.25">
      <c r="A19" s="51"/>
      <c r="B19" s="52" t="str">
        <f>"В том числе планируемый объем освоения капитальных вложений на "&amp;Данные!$R$46&amp;" год"</f>
        <v>В том числе планируемый объем освоения капитальных вложений на 2019 год</v>
      </c>
      <c r="C19" s="53">
        <f>Данные!S46</f>
        <v>0</v>
      </c>
      <c r="D19" s="53">
        <f>Данные!T46</f>
        <v>0</v>
      </c>
      <c r="E19" s="53">
        <f>Данные!U46</f>
        <v>0</v>
      </c>
      <c r="F19" s="53">
        <f>Данные!V46</f>
        <v>0</v>
      </c>
      <c r="G19" s="53">
        <f>Данные!W46</f>
        <v>0</v>
      </c>
      <c r="H19" s="53">
        <f t="shared" si="0"/>
        <v>0</v>
      </c>
    </row>
    <row r="20" spans="1:9" ht="22.5" hidden="1" x14ac:dyDescent="0.25">
      <c r="A20" s="51"/>
      <c r="B20" s="52" t="str">
        <f>"В том числе планируемый объем освоения капитальных вложений на "&amp;Данные!$R$47&amp;" год"</f>
        <v>В том числе планируемый объем освоения капитальных вложений на 2020 год</v>
      </c>
      <c r="C20" s="53">
        <f>Данные!S47</f>
        <v>0</v>
      </c>
      <c r="D20" s="53">
        <f>Данные!T47</f>
        <v>0</v>
      </c>
      <c r="E20" s="53">
        <f>Данные!U47</f>
        <v>0</v>
      </c>
      <c r="F20" s="53">
        <f>Данные!V47</f>
        <v>0</v>
      </c>
      <c r="G20" s="53">
        <f>Данные!W47</f>
        <v>0</v>
      </c>
      <c r="H20" s="53">
        <f t="shared" si="0"/>
        <v>0</v>
      </c>
    </row>
    <row r="21" spans="1:9" ht="22.5" x14ac:dyDescent="0.25">
      <c r="A21" s="51"/>
      <c r="B21" s="52" t="str">
        <f>"В том числе планируемый объем освоения капитальных вложений на "&amp;Данные!$R$48&amp;" год"</f>
        <v>В том числе планируемый объем освоения капитальных вложений на 2021 год</v>
      </c>
      <c r="C21" s="53">
        <f>Данные!S48</f>
        <v>855.59699999999998</v>
      </c>
      <c r="D21" s="53">
        <f>Данные!T48</f>
        <v>0</v>
      </c>
      <c r="E21" s="53">
        <f>Данные!U48</f>
        <v>0</v>
      </c>
      <c r="F21" s="53">
        <f>Данные!V48</f>
        <v>0</v>
      </c>
      <c r="G21" s="53">
        <f>Данные!W48</f>
        <v>0</v>
      </c>
      <c r="H21" s="53">
        <f t="shared" si="0"/>
        <v>855.59699999999998</v>
      </c>
    </row>
    <row r="22" spans="1:9" ht="22.5" hidden="1" x14ac:dyDescent="0.25">
      <c r="A22" s="51"/>
      <c r="B22" s="52" t="str">
        <f>"В том числе планируемый объем освоения капитальных вложений на "&amp;Данные!$R$49&amp;" год"</f>
        <v>В том числе планируемый объем освоения капитальных вложений на 2022 год</v>
      </c>
      <c r="C22" s="53">
        <f>Данные!S49</f>
        <v>0</v>
      </c>
      <c r="D22" s="53">
        <f>Данные!T49</f>
        <v>0</v>
      </c>
      <c r="E22" s="53">
        <f>Данные!U49</f>
        <v>0</v>
      </c>
      <c r="F22" s="53">
        <f>Данные!V49</f>
        <v>0</v>
      </c>
      <c r="G22" s="53">
        <f>Данные!W49</f>
        <v>0</v>
      </c>
      <c r="H22" s="53">
        <f t="shared" si="0"/>
        <v>0</v>
      </c>
    </row>
    <row r="23" spans="1:9" ht="22.5" hidden="1" x14ac:dyDescent="0.25">
      <c r="A23" s="51"/>
      <c r="B23" s="52" t="str">
        <f>"В том числе планируемый объем освоения капитальных вложений на "&amp;Данные!$R$50&amp;" год"</f>
        <v>В том числе планируемый объем освоения капитальных вложений на 2023 год</v>
      </c>
      <c r="C23" s="53">
        <f>Данные!S50</f>
        <v>0</v>
      </c>
      <c r="D23" s="53">
        <f>Данные!T50</f>
        <v>0</v>
      </c>
      <c r="E23" s="53">
        <f>Данные!U50</f>
        <v>0</v>
      </c>
      <c r="F23" s="53">
        <f>Данные!V50</f>
        <v>0</v>
      </c>
      <c r="G23" s="53">
        <f>Данные!W50</f>
        <v>0</v>
      </c>
      <c r="H23" s="53">
        <f t="shared" si="0"/>
        <v>0</v>
      </c>
    </row>
    <row r="24" spans="1:9" ht="22.5" x14ac:dyDescent="0.25">
      <c r="A24" s="51"/>
      <c r="B24" s="52" t="str">
        <f>"В том числе планируемый объем освоения капитальных вложений на "&amp;Данные!$R$51&amp;" год"</f>
        <v>В том числе планируемый объем освоения капитальных вложений на 2024 год</v>
      </c>
      <c r="C24" s="53">
        <f>Данные!S51</f>
        <v>0</v>
      </c>
      <c r="D24" s="53">
        <f>Данные!T51</f>
        <v>9883.1370000000006</v>
      </c>
      <c r="E24" s="53">
        <f>Данные!U51</f>
        <v>6.085</v>
      </c>
      <c r="F24" s="53">
        <f>Данные!V51</f>
        <v>0</v>
      </c>
      <c r="G24" s="53">
        <f>Данные!W51</f>
        <v>383.702</v>
      </c>
      <c r="H24" s="53">
        <f t="shared" si="0"/>
        <v>10272.923999999999</v>
      </c>
    </row>
    <row r="25" spans="1:9" ht="22.5" hidden="1" x14ac:dyDescent="0.25">
      <c r="A25" s="51"/>
      <c r="B25" s="52" t="str">
        <f>"В том числе планируемый объем освоения капитальных вложений на "&amp;Данные!$R$52&amp;" год"</f>
        <v>В том числе планируемый объем освоения капитальных вложений на 2025 год</v>
      </c>
      <c r="C25" s="53">
        <f>Данные!S52</f>
        <v>0</v>
      </c>
      <c r="D25" s="53">
        <f>Данные!T52</f>
        <v>0</v>
      </c>
      <c r="E25" s="53">
        <f>Данные!U52</f>
        <v>0</v>
      </c>
      <c r="F25" s="53">
        <f>Данные!V52</f>
        <v>0</v>
      </c>
      <c r="G25" s="53">
        <f>Данные!W52</f>
        <v>0</v>
      </c>
      <c r="H25" s="53">
        <f t="shared" si="0"/>
        <v>0</v>
      </c>
    </row>
    <row r="26" spans="1:9" ht="22.5" hidden="1" x14ac:dyDescent="0.25">
      <c r="A26" s="51"/>
      <c r="B26" s="52" t="str">
        <f>"В том числе планируемый объем освоения капитальных вложений на "&amp;Данные!$R$53&amp;" год"</f>
        <v>В том числе планируемый объем освоения капитальных вложений на 2026 год</v>
      </c>
      <c r="C26" s="53">
        <f>Данные!S53</f>
        <v>0</v>
      </c>
      <c r="D26" s="53">
        <f>Данные!T53</f>
        <v>0</v>
      </c>
      <c r="E26" s="53">
        <f>Данные!U53</f>
        <v>0</v>
      </c>
      <c r="F26" s="53">
        <f>Данные!V53</f>
        <v>0</v>
      </c>
      <c r="G26" s="53">
        <f>Данные!W53</f>
        <v>0</v>
      </c>
      <c r="H26" s="53">
        <f t="shared" si="0"/>
        <v>0</v>
      </c>
    </row>
    <row r="27" spans="1:9" ht="22.5" hidden="1" x14ac:dyDescent="0.25">
      <c r="A27" s="51"/>
      <c r="B27" s="52" t="str">
        <f>"В том числе планируемый объем освоения капитальных вложений на "&amp;Данные!$R$54&amp;" год"</f>
        <v>В том числе планируемый объем освоения капитальных вложений на 2027 год</v>
      </c>
      <c r="C27" s="53">
        <f>Данные!S54</f>
        <v>0</v>
      </c>
      <c r="D27" s="53">
        <f>Данные!T54</f>
        <v>0</v>
      </c>
      <c r="E27" s="53">
        <f>Данные!U54</f>
        <v>0</v>
      </c>
      <c r="F27" s="53">
        <f>Данные!V54</f>
        <v>0</v>
      </c>
      <c r="G27" s="53">
        <f>Данные!W54</f>
        <v>0</v>
      </c>
      <c r="H27" s="53">
        <f t="shared" si="0"/>
        <v>0</v>
      </c>
    </row>
    <row r="28" spans="1:9" ht="22.5" hidden="1" x14ac:dyDescent="0.25">
      <c r="A28" s="51"/>
      <c r="B28" s="52" t="str">
        <f>"В том числе планируемый объем освоения капитальных вложений на "&amp;Данные!$R$55&amp;" год"</f>
        <v>В том числе планируемый объем освоения капитальных вложений на 2028 год</v>
      </c>
      <c r="C28" s="53">
        <f>Данные!S55</f>
        <v>0</v>
      </c>
      <c r="D28" s="53">
        <f>Данные!T55</f>
        <v>0</v>
      </c>
      <c r="E28" s="53">
        <f>Данные!U55</f>
        <v>0</v>
      </c>
      <c r="F28" s="53">
        <f>Данные!V55</f>
        <v>0</v>
      </c>
      <c r="G28" s="53">
        <f>Данные!W55</f>
        <v>0</v>
      </c>
      <c r="H28" s="53">
        <f t="shared" si="0"/>
        <v>0</v>
      </c>
    </row>
    <row r="29" spans="1:9" ht="22.5" hidden="1" x14ac:dyDescent="0.25">
      <c r="A29" s="51"/>
      <c r="B29" s="52" t="str">
        <f>"В том числе планируемый объем освоения капитальных вложений на "&amp;Данные!$R$56&amp;" год"</f>
        <v>В том числе планируемый объем освоения капитальных вложений на 2029 год</v>
      </c>
      <c r="C29" s="53">
        <f>Данные!S56</f>
        <v>0</v>
      </c>
      <c r="D29" s="53">
        <f>Данные!T56</f>
        <v>0</v>
      </c>
      <c r="E29" s="53">
        <f>Данные!U56</f>
        <v>0</v>
      </c>
      <c r="F29" s="53">
        <f>Данные!V56</f>
        <v>0</v>
      </c>
      <c r="G29" s="53">
        <f>Данные!W56</f>
        <v>0</v>
      </c>
      <c r="H29" s="53">
        <f t="shared" si="0"/>
        <v>0</v>
      </c>
    </row>
    <row r="30" spans="1:9" ht="22.5" hidden="1" x14ac:dyDescent="0.25">
      <c r="A30" s="51"/>
      <c r="B30" s="52" t="str">
        <f>"В том числе планируемый объем освоения капитальных вложений на "&amp;Данные!$R$57&amp;" год"</f>
        <v>В том числе планируемый объем освоения капитальных вложений на 2030 год</v>
      </c>
      <c r="C30" s="53">
        <f>Данные!S57</f>
        <v>0</v>
      </c>
      <c r="D30" s="53">
        <f>Данные!T57</f>
        <v>0</v>
      </c>
      <c r="E30" s="53">
        <f>Данные!U57</f>
        <v>0</v>
      </c>
      <c r="F30" s="53">
        <f>Данные!V57</f>
        <v>0</v>
      </c>
      <c r="G30" s="53">
        <f>Данные!W57</f>
        <v>0</v>
      </c>
      <c r="H30" s="53">
        <f t="shared" si="0"/>
        <v>0</v>
      </c>
    </row>
    <row r="31" spans="1:9" s="58" customFormat="1" ht="25.5" hidden="1" x14ac:dyDescent="0.25">
      <c r="A31" s="42"/>
      <c r="B31" s="49" t="s">
        <v>66</v>
      </c>
      <c r="C31" s="34"/>
      <c r="D31" s="34"/>
      <c r="E31" s="34"/>
      <c r="F31" s="34"/>
      <c r="G31" s="34"/>
      <c r="H31" s="43"/>
      <c r="I31" s="57"/>
    </row>
    <row r="32" spans="1:9" s="58" customFormat="1" ht="22.5" hidden="1" x14ac:dyDescent="0.25">
      <c r="A32" s="51"/>
      <c r="B32" s="52" t="s">
        <v>73</v>
      </c>
      <c r="C32" s="53">
        <f>ПИР_Тек</f>
        <v>0</v>
      </c>
      <c r="D32" s="53">
        <f>СМР_Тек</f>
        <v>0</v>
      </c>
      <c r="E32" s="53">
        <f>ПНР_Тек</f>
        <v>0</v>
      </c>
      <c r="F32" s="53">
        <f>Оборуд_Тек</f>
        <v>0</v>
      </c>
      <c r="G32" s="53">
        <f>Прочее_Тек</f>
        <v>0</v>
      </c>
      <c r="H32" s="53"/>
      <c r="I32" s="57"/>
    </row>
    <row r="33" spans="1:9" s="58" customFormat="1" ht="22.5" hidden="1" x14ac:dyDescent="0.25">
      <c r="A33" s="51"/>
      <c r="B33" s="52" t="s">
        <v>74</v>
      </c>
      <c r="C33" s="53">
        <f>ПИР_Тек</f>
        <v>0</v>
      </c>
      <c r="D33" s="53">
        <f>СМР_Тек2</f>
        <v>0</v>
      </c>
      <c r="E33" s="53">
        <f>ПНР_Тек</f>
        <v>0</v>
      </c>
      <c r="F33" s="53">
        <f>Оборуд_Тек</f>
        <v>0</v>
      </c>
      <c r="G33" s="53">
        <f>Прочее_Тек</f>
        <v>0</v>
      </c>
      <c r="H33" s="53"/>
      <c r="I33" s="57"/>
    </row>
    <row r="34" spans="1:9" s="58" customFormat="1" ht="22.5" hidden="1" x14ac:dyDescent="0.25">
      <c r="A34" s="51"/>
      <c r="B34" s="52" t="s">
        <v>75</v>
      </c>
      <c r="C34" s="53">
        <f>ПИР_Тек</f>
        <v>0</v>
      </c>
      <c r="D34" s="53">
        <f>СМР_Тек3</f>
        <v>0</v>
      </c>
      <c r="E34" s="53">
        <f>ПНР_Тек</f>
        <v>0</v>
      </c>
      <c r="F34" s="53">
        <f>Оборуд_Тек</f>
        <v>0</v>
      </c>
      <c r="G34" s="53">
        <f>Прочее_Тек</f>
        <v>0</v>
      </c>
      <c r="H34" s="53"/>
      <c r="I34" s="57"/>
    </row>
    <row r="35" spans="1:9" ht="38.25" hidden="1" x14ac:dyDescent="0.25">
      <c r="A35" s="42"/>
      <c r="B35" s="49" t="s">
        <v>62</v>
      </c>
      <c r="C35" s="34">
        <f>Данные!L1</f>
        <v>183.60400000000001</v>
      </c>
      <c r="D35" s="34">
        <f>Данные!L2</f>
        <v>1278.5429999999999</v>
      </c>
      <c r="E35" s="34">
        <f>Данные!L3</f>
        <v>0.23499999999999999</v>
      </c>
      <c r="F35" s="34">
        <f>Данные!L4</f>
        <v>0</v>
      </c>
      <c r="G35" s="34">
        <f>Данные!L5</f>
        <v>34.85</v>
      </c>
      <c r="H35" s="34">
        <f>SUM(C35:G35)</f>
        <v>1497.2319999999997</v>
      </c>
    </row>
    <row r="36" spans="1:9" ht="41.25" customHeight="1" x14ac:dyDescent="0.25">
      <c r="A36" s="42">
        <v>2</v>
      </c>
      <c r="B36" s="49" t="str">
        <f>"Индексы-дефляторы Минэкономразвития от года текущих цен в расчете ("&amp;Индекс_цен&amp;") до года реализации"</f>
        <v>Индексы-дефляторы Минэкономразвития от года текущих цен в расчете (3 кв 2021) до года реализации</v>
      </c>
      <c r="C36" s="14"/>
      <c r="D36" s="13"/>
      <c r="E36" s="13"/>
      <c r="F36" s="13"/>
      <c r="G36" s="12"/>
      <c r="H36" s="50"/>
    </row>
    <row r="37" spans="1:9" ht="25.5" hidden="1" customHeight="1" x14ac:dyDescent="0.25">
      <c r="A37" s="51"/>
      <c r="B37" s="52" t="str">
        <f>"Индексы-дефляторы Минэкономразвития от года текущих цен в расчете ("&amp;Индекс_цен&amp;") до года реализации("&amp;Данные!A18&amp;")"</f>
        <v>Индексы-дефляторы Минэкономразвития от года текущих цен в расчете (3 кв 2021) до года реализации(2012)</v>
      </c>
      <c r="C37" s="95">
        <f>Данные!F18</f>
        <v>1</v>
      </c>
      <c r="D37" s="10"/>
      <c r="E37" s="10"/>
      <c r="F37" s="10"/>
      <c r="G37" s="9"/>
      <c r="H37" s="65">
        <f>Данные!E18</f>
        <v>1</v>
      </c>
      <c r="I37" s="59"/>
    </row>
    <row r="38" spans="1:9" ht="22.5" hidden="1" customHeight="1" x14ac:dyDescent="0.25">
      <c r="A38" s="51"/>
      <c r="B38" s="52" t="str">
        <f>"Индексы-дефляторы Минэкономразвития от года текущих цен в расчете ("&amp;Индекс_цен&amp;") до года реализации("&amp;Данные!A19&amp;")"</f>
        <v>Индексы-дефляторы Минэкономразвития от года текущих цен в расчете (3 кв 2021) до года реализации(2013)</v>
      </c>
      <c r="C38" s="11">
        <f>Данные!F20</f>
        <v>1</v>
      </c>
      <c r="D38" s="10"/>
      <c r="E38" s="10"/>
      <c r="F38" s="10"/>
      <c r="G38" s="9"/>
      <c r="H38" s="65">
        <f>Данные!E19</f>
        <v>1</v>
      </c>
      <c r="I38" s="59"/>
    </row>
    <row r="39" spans="1:9" ht="23.25" hidden="1" customHeight="1" x14ac:dyDescent="0.25">
      <c r="A39" s="51"/>
      <c r="B39" s="52" t="str">
        <f>"Индексы-дефляторы Минэкономразвития от года текущих цен в расчете ("&amp;Индекс_цен&amp;") до года реализации("&amp;Данные!A20&amp;")"</f>
        <v>Индексы-дефляторы Минэкономразвития от года текущих цен в расчете (3 кв 2021) до года реализации(2014)</v>
      </c>
      <c r="C39" s="11">
        <f>Данные!F20</f>
        <v>1</v>
      </c>
      <c r="D39" s="10"/>
      <c r="E39" s="10"/>
      <c r="F39" s="10"/>
      <c r="G39" s="9"/>
      <c r="H39" s="65">
        <f>Данные!E20</f>
        <v>1</v>
      </c>
      <c r="I39" s="59"/>
    </row>
    <row r="40" spans="1:9" ht="23.25" hidden="1" customHeight="1" x14ac:dyDescent="0.25">
      <c r="A40" s="51"/>
      <c r="B40" s="52" t="str">
        <f>"Индексы-дефляторы Минэкономразвития от года текущих цен в расчете ("&amp;Индекс_цен&amp;") до года реализации("&amp;Данные!A21&amp;")"</f>
        <v>Индексы-дефляторы Минэкономразвития от года текущих цен в расчете (3 кв 2021) до года реализации(2015)</v>
      </c>
      <c r="C40" s="11">
        <f>Данные!F21</f>
        <v>1</v>
      </c>
      <c r="D40" s="10"/>
      <c r="E40" s="10"/>
      <c r="F40" s="10"/>
      <c r="G40" s="9"/>
      <c r="H40" s="65">
        <f>Данные!E21</f>
        <v>1</v>
      </c>
    </row>
    <row r="41" spans="1:9" ht="22.5" hidden="1" x14ac:dyDescent="0.25">
      <c r="A41" s="51"/>
      <c r="B41" s="52" t="str">
        <f>"Индексы-дефляторы Минэкономразвития от года текущих цен в расчете ("&amp;Индекс_цен&amp;") до года реализации("&amp;Данные!A22&amp;")"</f>
        <v>Индексы-дефляторы Минэкономразвития от года текущих цен в расчете (3 кв 2021) до года реализации(2016)</v>
      </c>
      <c r="C41" s="11">
        <f>Данные!F22</f>
        <v>1</v>
      </c>
      <c r="D41" s="10"/>
      <c r="E41" s="10"/>
      <c r="F41" s="10"/>
      <c r="G41" s="9"/>
      <c r="H41" s="65">
        <f>Данные!E22</f>
        <v>1</v>
      </c>
    </row>
    <row r="42" spans="1:9" ht="22.5" hidden="1" x14ac:dyDescent="0.25">
      <c r="A42" s="51"/>
      <c r="B42" s="52" t="str">
        <f>"Индексы-дефляторы Минэкономразвития от года текущих цен в расчете ("&amp;Индекс_цен&amp;") до года реализации ("&amp;Данные!A23&amp;")"</f>
        <v>Индексы-дефляторы Минэкономразвития от года текущих цен в расчете (3 кв 2021) до года реализации (2017)</v>
      </c>
      <c r="C42" s="11">
        <f>Данные!F23</f>
        <v>1</v>
      </c>
      <c r="D42" s="10"/>
      <c r="E42" s="10"/>
      <c r="F42" s="10"/>
      <c r="G42" s="9"/>
      <c r="H42" s="65">
        <f>Данные!E23</f>
        <v>1</v>
      </c>
    </row>
    <row r="43" spans="1:9" ht="22.5" hidden="1" x14ac:dyDescent="0.25">
      <c r="A43" s="51"/>
      <c r="B43" s="52" t="str">
        <f>"Индексы-дефляторы Минэкономразвития от года текущих цен в расчете ("&amp;Индекс_цен&amp;") до года реализации ("&amp;Данные!A24&amp;")"</f>
        <v>Индексы-дефляторы Минэкономразвития от года текущих цен в расчете (3 кв 2021) до года реализации (2018)</v>
      </c>
      <c r="C43" s="11">
        <f>Данные!F24</f>
        <v>1</v>
      </c>
      <c r="D43" s="10"/>
      <c r="E43" s="10"/>
      <c r="F43" s="10"/>
      <c r="G43" s="9"/>
      <c r="H43" s="92">
        <f>Данные!E24</f>
        <v>1</v>
      </c>
    </row>
    <row r="44" spans="1:9" ht="22.5" hidden="1" x14ac:dyDescent="0.25">
      <c r="A44" s="51"/>
      <c r="B44" s="52" t="str">
        <f>"Индексы-дефляторы Минэкономразвития от года текущих цен в расчете ("&amp;Индекс_цен&amp;") до года реализации ("&amp;Данные!A25&amp;")"</f>
        <v>Индексы-дефляторы Минэкономразвития от года текущих цен в расчете (3 кв 2021) до года реализации (2019)</v>
      </c>
      <c r="C44" s="11">
        <f>Данные!F25</f>
        <v>1</v>
      </c>
      <c r="D44" s="10"/>
      <c r="E44" s="10"/>
      <c r="F44" s="10"/>
      <c r="G44" s="9"/>
      <c r="H44" s="92">
        <f>Данные!E25</f>
        <v>1</v>
      </c>
    </row>
    <row r="45" spans="1:9" ht="22.5" hidden="1" x14ac:dyDescent="0.25">
      <c r="A45" s="51"/>
      <c r="B45" s="52" t="str">
        <f>"Индексы-дефляторы Минэкономразвития от года текущих цен в расчете ("&amp;Индекс_цен&amp;") до года реализации ("&amp;Данные!A26&amp;")"</f>
        <v>Индексы-дефляторы Минэкономразвития от года текущих цен в расчете (3 кв 2021) до года реализации (2020)</v>
      </c>
      <c r="C45" s="11">
        <f>Данные!F26</f>
        <v>1</v>
      </c>
      <c r="D45" s="10"/>
      <c r="E45" s="10"/>
      <c r="F45" s="10"/>
      <c r="G45" s="9"/>
      <c r="H45" s="92">
        <f>Данные!E26</f>
        <v>1</v>
      </c>
    </row>
    <row r="46" spans="1:9" ht="22.5" x14ac:dyDescent="0.25">
      <c r="A46" s="51"/>
      <c r="B46" s="52" t="str">
        <f>"Индексы-дефляторы Минэкономразвития от года текущих цен в расчете ("&amp;Индекс_цен&amp;") до года реализации("&amp;Данные!A27&amp;")"</f>
        <v>Индексы-дефляторы Минэкономразвития от года текущих цен в расчете (3 кв 2021) до года реализации(2021)</v>
      </c>
      <c r="C46" s="11">
        <f>Данные!F27</f>
        <v>1</v>
      </c>
      <c r="D46" s="10"/>
      <c r="E46" s="10"/>
      <c r="F46" s="10"/>
      <c r="G46" s="9"/>
      <c r="H46" s="92">
        <f>Данные!E27</f>
        <v>1</v>
      </c>
    </row>
    <row r="47" spans="1:9" ht="22.5" hidden="1" x14ac:dyDescent="0.25">
      <c r="A47" s="51"/>
      <c r="B47" s="52" t="str">
        <f>"Индексы-дефляторы Минэкономразвития от года текущих цен в расчете ("&amp;Индекс_цен&amp;") до года реализации ("&amp;Данные!A28&amp;")"</f>
        <v>Индексы-дефляторы Минэкономразвития от года текущих цен в расчете (3 кв 2021) до года реализации (2022)</v>
      </c>
      <c r="C47" s="11" t="str">
        <f>Данные!F28</f>
        <v>(1.051003564654480+1)/2</v>
      </c>
      <c r="D47" s="10"/>
      <c r="E47" s="10"/>
      <c r="F47" s="10"/>
      <c r="G47" s="9"/>
      <c r="H47" s="92">
        <f>Данные!E28</f>
        <v>1.0255017823272401</v>
      </c>
    </row>
    <row r="48" spans="1:9" ht="22.5" hidden="1" x14ac:dyDescent="0.25">
      <c r="A48" s="51"/>
      <c r="B48" s="52" t="str">
        <f>"Индексы-дефляторы Минэкономразвития от года текущих цен в расчете ("&amp;Индекс_цен&amp;") до года реализации("&amp;Данные!A29&amp;")"</f>
        <v>Индексы-дефляторы Минэкономразвития от года текущих цен в расчете (3 кв 2021) до года реализации(2023)</v>
      </c>
      <c r="C48" s="11" t="str">
        <f>Данные!F29</f>
        <v>(1.049001762230180+1)/2*1.051003564654480</v>
      </c>
      <c r="D48" s="10"/>
      <c r="E48" s="10"/>
      <c r="F48" s="10"/>
      <c r="G48" s="9"/>
      <c r="H48" s="92">
        <f>Данные!E29</f>
        <v>1.0767540780436151</v>
      </c>
    </row>
    <row r="49" spans="1:10" ht="22.5" x14ac:dyDescent="0.25">
      <c r="A49" s="51"/>
      <c r="B49" s="52" t="str">
        <f>"Индексы-дефляторы Минэкономразвития от года текущих цен в расчете ("&amp;Индекс_цен&amp;") до года реализации("&amp;Данные!A30&amp;")"</f>
        <v>Индексы-дефляторы Минэкономразвития от года текущих цен в расчете (3 кв 2021) до года реализации(2024)</v>
      </c>
      <c r="C49" s="11" t="str">
        <f>Данные!F30</f>
        <v>(1.047000273037250+1)/2*1.051003564654480*1.049001762230180</v>
      </c>
      <c r="D49" s="10"/>
      <c r="E49" s="10"/>
      <c r="F49" s="10"/>
      <c r="G49" s="9"/>
      <c r="H49" s="92">
        <f>Данные!E30</f>
        <v>1.1284135998438309</v>
      </c>
    </row>
    <row r="50" spans="1:10" ht="22.5" hidden="1" x14ac:dyDescent="0.25">
      <c r="A50" s="51"/>
      <c r="B50" s="52" t="str">
        <f>"Индексы-дефляторы Минэкономразвития от года текущих цен в расчете ("&amp;Индекс_цен&amp;") до года реализации("&amp;Данные!A31&amp;")"</f>
        <v>Индексы-дефляторы Минэкономразвития от года текущих цен в расчете (3 кв 2021) до года реализации(2025)</v>
      </c>
      <c r="C50" s="11" t="str">
        <f>Данные!F31</f>
        <v>(1.047000273037250+1)/2*1.051003564654480*1.049001762230180*1.047000273037250</v>
      </c>
      <c r="D50" s="10"/>
      <c r="E50" s="10"/>
      <c r="F50" s="10"/>
      <c r="G50" s="9"/>
      <c r="H50" s="92">
        <f>Данные!E31</f>
        <v>1.1814493471354373</v>
      </c>
    </row>
    <row r="51" spans="1:10" ht="22.5" hidden="1" x14ac:dyDescent="0.25">
      <c r="A51" s="51"/>
      <c r="B51" s="52" t="str">
        <f>"Индексы-дефляторы Минэкономразвития от года текущих цен в расчете ("&amp;Индекс_цен&amp;") до года реализации ("&amp;Данные!A32&amp;")"</f>
        <v>Индексы-дефляторы Минэкономразвития от года текущих цен в расчете (3 кв 2021) до года реализации (2026)</v>
      </c>
      <c r="C51" s="11" t="str">
        <f>Данные!F32</f>
        <v>(1.047000273037250+1)/2*1.051003564654480*1.049001762230180*1.047000273037250*1.047000273037250</v>
      </c>
      <c r="D51" s="10"/>
      <c r="E51" s="10"/>
      <c r="F51" s="10"/>
      <c r="G51" s="9"/>
      <c r="H51" s="92">
        <f>Данные!E32</f>
        <v>1.2369777890304836</v>
      </c>
    </row>
    <row r="52" spans="1:10" ht="22.5" hidden="1" x14ac:dyDescent="0.25">
      <c r="A52" s="51"/>
      <c r="B52" s="52" t="str">
        <f>"Индексы-дефляторы Минэкономразвития от года текущих цен в расчете ("&amp;Индекс_цен&amp;") до года реализации ("&amp;Данные!A33&amp;")"</f>
        <v>Индексы-дефляторы Минэкономразвития от года текущих цен в расчете (3 кв 2021) до года реализации (2027)</v>
      </c>
      <c r="C52" s="11" t="str">
        <f>Данные!F33</f>
        <v>(1.047000273037250+1)/2*1.051003564654480*1.049001762230180*1.047000273037250*1.047000273037250*1.047000273037250</v>
      </c>
      <c r="D52" s="10"/>
      <c r="E52" s="10"/>
      <c r="F52" s="10"/>
      <c r="G52" s="9"/>
      <c r="H52" s="92">
        <f>Данные!E33</f>
        <v>1.2951160828559303</v>
      </c>
    </row>
    <row r="53" spans="1:10" ht="22.5" hidden="1" x14ac:dyDescent="0.25">
      <c r="A53" s="51"/>
      <c r="B53" s="52" t="str">
        <f>"Индексы-дефляторы Минэкономразвития от года текущих цен в расчете ("&amp;Индекс_цен&amp;") до года реализации ("&amp;Данные!A34&amp;")"</f>
        <v>Индексы-дефляторы Минэкономразвития от года текущих цен в расчете (3 кв 2021) до года реализации (2028)</v>
      </c>
      <c r="C53" s="11" t="str">
        <f>Данные!F34</f>
        <v>(1.047000273037250+1)/2*1.051003564654480*1.049001762230180*1.047000273037250*1.047000273037250*1.047000273037250*1.047000273037250</v>
      </c>
      <c r="D53" s="10"/>
      <c r="E53" s="10"/>
      <c r="F53" s="10"/>
      <c r="G53" s="9"/>
      <c r="H53" s="92">
        <f>Данные!E34</f>
        <v>1.3559868923650926</v>
      </c>
    </row>
    <row r="54" spans="1:10" ht="22.5" hidden="1" x14ac:dyDescent="0.25">
      <c r="A54" s="51"/>
      <c r="B54" s="52" t="str">
        <f>"Индексы-дефляторы Минэкономразвития от года текущих цен в расчете ("&amp;Индекс_цен&amp;") до года реализации("&amp;Данные!A35&amp;")"</f>
        <v>Индексы-дефляторы Минэкономразвития от года текущих цен в расчете (3 кв 2021) до года реализации(2029)</v>
      </c>
      <c r="C54" s="11" t="str">
        <f>Данные!F35</f>
        <v>(1.047000273037250+1)/2*1.051003564654480*1.049001762230180*1.047000273037250*1.047000273037250*1.047000273037250*1.047000273037250*1.047000273037250</v>
      </c>
      <c r="D54" s="10"/>
      <c r="E54" s="10"/>
      <c r="F54" s="10"/>
      <c r="G54" s="9"/>
      <c r="H54" s="92">
        <f>Данные!E35</f>
        <v>1.4197186465411842</v>
      </c>
    </row>
    <row r="55" spans="1:10" ht="22.5" hidden="1" x14ac:dyDescent="0.25">
      <c r="A55" s="51"/>
      <c r="B55" s="52" t="str">
        <f>"Индексы-дефляторы Минэкономразвития от года текущих цен в расчете ("&amp;Индекс_цен&amp;") до года реализации("&amp;Данные!A36&amp;")"</f>
        <v>Индексы-дефляторы Минэкономразвития от года текущих цен в расчете (3 кв 2021) до года реализации(2030)</v>
      </c>
      <c r="C55" s="11" t="str">
        <f>Данные!F36</f>
        <v>(1.047000273037250+1)/2*1.051003564654480*1.049001762230180*1.047000273037250*1.047000273037250*1.047000273037250*1.047000273037250*1.047000273037250*1.047000273037250</v>
      </c>
      <c r="D55" s="10"/>
      <c r="E55" s="10"/>
      <c r="F55" s="10"/>
      <c r="G55" s="9"/>
      <c r="H55" s="92">
        <f>Данные!E36</f>
        <v>1.4864458105646949</v>
      </c>
    </row>
    <row r="56" spans="1:10" ht="23.25" customHeight="1" x14ac:dyDescent="0.25">
      <c r="A56" s="42">
        <v>3</v>
      </c>
      <c r="B56" s="24" t="s">
        <v>44</v>
      </c>
      <c r="C56" s="2"/>
      <c r="D56" s="1"/>
      <c r="E56" s="1"/>
      <c r="F56" s="1"/>
      <c r="G56" s="94"/>
      <c r="H56" s="93">
        <f>H12*H37+H13*H38+H14*H39+H15*H40+H16*H41+H17*H42+H18*H43+H19*H44+H20*H45+H21*H46+H22*H47+H23*H48+H24*H49+H25*H50+H26*H51+H27*H52+H28*H53+H29*H54+H30*H55</f>
        <v>12447.704151762086</v>
      </c>
      <c r="J56" s="55"/>
    </row>
    <row r="58" spans="1:10" ht="15.75" thickBot="1" x14ac:dyDescent="0.3">
      <c r="A58" s="7" t="s">
        <v>46</v>
      </c>
      <c r="B58" s="7"/>
      <c r="C58" s="7"/>
      <c r="D58" s="7"/>
      <c r="E58" s="7"/>
      <c r="F58" s="7"/>
      <c r="G58" s="7"/>
      <c r="H58" s="7"/>
    </row>
    <row r="59" spans="1:10" ht="25.5" x14ac:dyDescent="0.25">
      <c r="A59" s="26" t="s">
        <v>7</v>
      </c>
      <c r="B59" s="27" t="s">
        <v>8</v>
      </c>
      <c r="C59" s="27" t="s">
        <v>9</v>
      </c>
      <c r="D59" s="27" t="s">
        <v>10</v>
      </c>
      <c r="E59" s="27" t="s">
        <v>11</v>
      </c>
      <c r="F59" s="27" t="s">
        <v>12</v>
      </c>
      <c r="G59" s="27" t="s">
        <v>3</v>
      </c>
      <c r="H59" s="28" t="s">
        <v>13</v>
      </c>
    </row>
    <row r="60" spans="1:10" ht="38.25" x14ac:dyDescent="0.25">
      <c r="A60" s="29">
        <v>1</v>
      </c>
      <c r="B60" s="49" t="str">
        <f>B11</f>
        <v>Стоимость проекта согласно утвержденной ПСД/Укрупненного расчета стоимости/Объекта Аналога (в ценах 3 кв 2021)</v>
      </c>
      <c r="C60" s="34">
        <f t="shared" ref="C60:G69" si="1">C11*НДС</f>
        <v>1026.7164</v>
      </c>
      <c r="D60" s="34">
        <f t="shared" si="1"/>
        <v>11859.7644</v>
      </c>
      <c r="E60" s="34">
        <f t="shared" si="1"/>
        <v>7.3019999999999996</v>
      </c>
      <c r="F60" s="34">
        <f t="shared" si="1"/>
        <v>0</v>
      </c>
      <c r="G60" s="34">
        <f t="shared" si="1"/>
        <v>460.44239999999996</v>
      </c>
      <c r="H60" s="47">
        <f>SUM(C60:G60)</f>
        <v>13354.225199999999</v>
      </c>
    </row>
    <row r="61" spans="1:10" hidden="1" x14ac:dyDescent="0.25">
      <c r="A61" s="51"/>
      <c r="B61" s="52" t="str">
        <f>"В том числе объем затрат, реализуемых в "&amp;Данные!R39&amp;" году"</f>
        <v>В том числе объем затрат, реализуемых в 2012 году</v>
      </c>
      <c r="C61" s="53">
        <f t="shared" si="1"/>
        <v>0</v>
      </c>
      <c r="D61" s="53">
        <f t="shared" si="1"/>
        <v>0</v>
      </c>
      <c r="E61" s="53">
        <f t="shared" si="1"/>
        <v>0</v>
      </c>
      <c r="F61" s="53">
        <f t="shared" si="1"/>
        <v>0</v>
      </c>
      <c r="G61" s="53">
        <f t="shared" si="1"/>
        <v>0</v>
      </c>
      <c r="H61" s="53">
        <f>SUM(C61:G61)</f>
        <v>0</v>
      </c>
    </row>
    <row r="62" spans="1:10" hidden="1" x14ac:dyDescent="0.25">
      <c r="A62" s="51"/>
      <c r="B62" s="52" t="str">
        <f>"В том числе объем затрат, реализуемых в "&amp;Данные!R40&amp;" году"</f>
        <v>В том числе объем затрат, реализуемых в 2013 году</v>
      </c>
      <c r="C62" s="53">
        <f t="shared" si="1"/>
        <v>0</v>
      </c>
      <c r="D62" s="53">
        <f t="shared" si="1"/>
        <v>0</v>
      </c>
      <c r="E62" s="53">
        <f t="shared" si="1"/>
        <v>0</v>
      </c>
      <c r="F62" s="53">
        <f t="shared" si="1"/>
        <v>0</v>
      </c>
      <c r="G62" s="53">
        <f t="shared" si="1"/>
        <v>0</v>
      </c>
      <c r="H62" s="53">
        <f t="shared" ref="H62:H78" si="2">SUM(C62:G62)</f>
        <v>0</v>
      </c>
    </row>
    <row r="63" spans="1:10" hidden="1" x14ac:dyDescent="0.25">
      <c r="A63" s="51"/>
      <c r="B63" s="52" t="str">
        <f>"В том числе объем затрат, реализуемых в "&amp;Данные!R41&amp;" году"</f>
        <v>В том числе объем затрат, реализуемых в 2014 году</v>
      </c>
      <c r="C63" s="53">
        <f t="shared" si="1"/>
        <v>0</v>
      </c>
      <c r="D63" s="53">
        <f t="shared" si="1"/>
        <v>0</v>
      </c>
      <c r="E63" s="53">
        <f t="shared" si="1"/>
        <v>0</v>
      </c>
      <c r="F63" s="53">
        <f t="shared" si="1"/>
        <v>0</v>
      </c>
      <c r="G63" s="53">
        <f t="shared" si="1"/>
        <v>0</v>
      </c>
      <c r="H63" s="53">
        <f t="shared" si="2"/>
        <v>0</v>
      </c>
    </row>
    <row r="64" spans="1:10" hidden="1" x14ac:dyDescent="0.25">
      <c r="A64" s="51"/>
      <c r="B64" s="52" t="str">
        <f>"В том числе объем затрат, реализуемых в "&amp;Данные!R42&amp;" году"</f>
        <v>В том числе объем затрат, реализуемых в 2015 году</v>
      </c>
      <c r="C64" s="53">
        <f t="shared" si="1"/>
        <v>0</v>
      </c>
      <c r="D64" s="53">
        <f t="shared" si="1"/>
        <v>0</v>
      </c>
      <c r="E64" s="53">
        <f t="shared" si="1"/>
        <v>0</v>
      </c>
      <c r="F64" s="53">
        <f t="shared" si="1"/>
        <v>0</v>
      </c>
      <c r="G64" s="53">
        <f t="shared" si="1"/>
        <v>0</v>
      </c>
      <c r="H64" s="53">
        <f t="shared" si="2"/>
        <v>0</v>
      </c>
    </row>
    <row r="65" spans="1:9" hidden="1" x14ac:dyDescent="0.25">
      <c r="A65" s="51"/>
      <c r="B65" s="52" t="str">
        <f>"В том числе объем затрат, реализуемых в "&amp;Данные!R43&amp;" году"</f>
        <v>В том числе объем затрат, реализуемых в 2016 году</v>
      </c>
      <c r="C65" s="53">
        <f t="shared" si="1"/>
        <v>0</v>
      </c>
      <c r="D65" s="53">
        <f t="shared" si="1"/>
        <v>0</v>
      </c>
      <c r="E65" s="53">
        <f t="shared" si="1"/>
        <v>0</v>
      </c>
      <c r="F65" s="53">
        <f t="shared" si="1"/>
        <v>0</v>
      </c>
      <c r="G65" s="53">
        <f t="shared" si="1"/>
        <v>0</v>
      </c>
      <c r="H65" s="53">
        <f t="shared" si="2"/>
        <v>0</v>
      </c>
    </row>
    <row r="66" spans="1:9" hidden="1" x14ac:dyDescent="0.25">
      <c r="A66" s="51"/>
      <c r="B66" s="52" t="str">
        <f>"В том числе объем затрат, реализуемых в "&amp;Данные!R44&amp;" году"</f>
        <v>В том числе объем затрат, реализуемых в 2017 году</v>
      </c>
      <c r="C66" s="53">
        <f t="shared" si="1"/>
        <v>0</v>
      </c>
      <c r="D66" s="53">
        <f t="shared" si="1"/>
        <v>0</v>
      </c>
      <c r="E66" s="53">
        <f t="shared" si="1"/>
        <v>0</v>
      </c>
      <c r="F66" s="53">
        <f t="shared" si="1"/>
        <v>0</v>
      </c>
      <c r="G66" s="53">
        <f t="shared" si="1"/>
        <v>0</v>
      </c>
      <c r="H66" s="53">
        <f t="shared" si="2"/>
        <v>0</v>
      </c>
    </row>
    <row r="67" spans="1:9" hidden="1" x14ac:dyDescent="0.25">
      <c r="A67" s="51"/>
      <c r="B67" s="52" t="str">
        <f>"В том числе объем затрат, реализуемых в "&amp;Данные!R45&amp;" году"</f>
        <v>В том числе объем затрат, реализуемых в 2018 году</v>
      </c>
      <c r="C67" s="53">
        <f t="shared" si="1"/>
        <v>0</v>
      </c>
      <c r="D67" s="53">
        <f t="shared" si="1"/>
        <v>0</v>
      </c>
      <c r="E67" s="53">
        <f t="shared" si="1"/>
        <v>0</v>
      </c>
      <c r="F67" s="53">
        <f t="shared" si="1"/>
        <v>0</v>
      </c>
      <c r="G67" s="53">
        <f t="shared" si="1"/>
        <v>0</v>
      </c>
      <c r="H67" s="53">
        <f t="shared" si="2"/>
        <v>0</v>
      </c>
    </row>
    <row r="68" spans="1:9" hidden="1" x14ac:dyDescent="0.25">
      <c r="A68" s="51"/>
      <c r="B68" s="52" t="str">
        <f>"В том числе объем затрат, реализуемых в "&amp;Данные!R46&amp;" году"</f>
        <v>В том числе объем затрат, реализуемых в 2019 году</v>
      </c>
      <c r="C68" s="53">
        <f t="shared" si="1"/>
        <v>0</v>
      </c>
      <c r="D68" s="53">
        <f t="shared" si="1"/>
        <v>0</v>
      </c>
      <c r="E68" s="53">
        <f t="shared" si="1"/>
        <v>0</v>
      </c>
      <c r="F68" s="53">
        <f t="shared" si="1"/>
        <v>0</v>
      </c>
      <c r="G68" s="53">
        <f t="shared" si="1"/>
        <v>0</v>
      </c>
      <c r="H68" s="53">
        <f t="shared" si="2"/>
        <v>0</v>
      </c>
    </row>
    <row r="69" spans="1:9" hidden="1" x14ac:dyDescent="0.25">
      <c r="A69" s="51"/>
      <c r="B69" s="52" t="str">
        <f>"В том числе объем затрат, реализуемых в "&amp;Данные!R47&amp;" году"</f>
        <v>В том числе объем затрат, реализуемых в 2020 году</v>
      </c>
      <c r="C69" s="53">
        <f t="shared" si="1"/>
        <v>0</v>
      </c>
      <c r="D69" s="53">
        <f t="shared" si="1"/>
        <v>0</v>
      </c>
      <c r="E69" s="53">
        <f t="shared" si="1"/>
        <v>0</v>
      </c>
      <c r="F69" s="53">
        <f t="shared" si="1"/>
        <v>0</v>
      </c>
      <c r="G69" s="53">
        <f t="shared" si="1"/>
        <v>0</v>
      </c>
      <c r="H69" s="53">
        <f t="shared" si="2"/>
        <v>0</v>
      </c>
    </row>
    <row r="70" spans="1:9" x14ac:dyDescent="0.25">
      <c r="A70" s="51"/>
      <c r="B70" s="52" t="str">
        <f>"В том числе объем затрат, реализуемых в "&amp;Данные!R48&amp;" году"</f>
        <v>В том числе объем затрат, реализуемых в 2021 году</v>
      </c>
      <c r="C70" s="53">
        <f t="shared" ref="C70:G79" si="3">C21*НДС</f>
        <v>1026.7164</v>
      </c>
      <c r="D70" s="53">
        <f t="shared" si="3"/>
        <v>0</v>
      </c>
      <c r="E70" s="53">
        <f t="shared" si="3"/>
        <v>0</v>
      </c>
      <c r="F70" s="53">
        <f t="shared" si="3"/>
        <v>0</v>
      </c>
      <c r="G70" s="53">
        <f t="shared" si="3"/>
        <v>0</v>
      </c>
      <c r="H70" s="53">
        <f t="shared" si="2"/>
        <v>1026.7164</v>
      </c>
    </row>
    <row r="71" spans="1:9" hidden="1" x14ac:dyDescent="0.25">
      <c r="A71" s="51"/>
      <c r="B71" s="52" t="str">
        <f>"В том числе объем затрат, реализуемых в "&amp;Данные!R49&amp;" году"</f>
        <v>В том числе объем затрат, реализуемых в 2022 году</v>
      </c>
      <c r="C71" s="53">
        <f t="shared" si="3"/>
        <v>0</v>
      </c>
      <c r="D71" s="53">
        <f t="shared" si="3"/>
        <v>0</v>
      </c>
      <c r="E71" s="53">
        <f t="shared" si="3"/>
        <v>0</v>
      </c>
      <c r="F71" s="53">
        <f t="shared" si="3"/>
        <v>0</v>
      </c>
      <c r="G71" s="53">
        <f t="shared" si="3"/>
        <v>0</v>
      </c>
      <c r="H71" s="53">
        <f t="shared" si="2"/>
        <v>0</v>
      </c>
    </row>
    <row r="72" spans="1:9" hidden="1" x14ac:dyDescent="0.25">
      <c r="A72" s="51"/>
      <c r="B72" s="52" t="str">
        <f>"В том числе объем затрат, реализуемых в "&amp;Данные!R50&amp;" году"</f>
        <v>В том числе объем затрат, реализуемых в 2023 году</v>
      </c>
      <c r="C72" s="53">
        <f t="shared" si="3"/>
        <v>0</v>
      </c>
      <c r="D72" s="53">
        <f t="shared" si="3"/>
        <v>0</v>
      </c>
      <c r="E72" s="53">
        <f t="shared" si="3"/>
        <v>0</v>
      </c>
      <c r="F72" s="53">
        <f t="shared" si="3"/>
        <v>0</v>
      </c>
      <c r="G72" s="53">
        <f t="shared" si="3"/>
        <v>0</v>
      </c>
      <c r="H72" s="53">
        <f t="shared" ref="H72" si="4">SUM(C72:G72)</f>
        <v>0</v>
      </c>
    </row>
    <row r="73" spans="1:9" x14ac:dyDescent="0.25">
      <c r="A73" s="51"/>
      <c r="B73" s="52" t="str">
        <f>"В том числе объем затрат, реализуемых в "&amp;Данные!R51&amp;" году"</f>
        <v>В том числе объем затрат, реализуемых в 2024 году</v>
      </c>
      <c r="C73" s="53">
        <f t="shared" si="3"/>
        <v>0</v>
      </c>
      <c r="D73" s="53">
        <f t="shared" si="3"/>
        <v>11859.7644</v>
      </c>
      <c r="E73" s="53">
        <f t="shared" si="3"/>
        <v>7.3019999999999996</v>
      </c>
      <c r="F73" s="53">
        <f t="shared" si="3"/>
        <v>0</v>
      </c>
      <c r="G73" s="53">
        <f t="shared" si="3"/>
        <v>460.44239999999996</v>
      </c>
      <c r="H73" s="53">
        <f t="shared" si="2"/>
        <v>12327.5088</v>
      </c>
    </row>
    <row r="74" spans="1:9" hidden="1" x14ac:dyDescent="0.25">
      <c r="A74" s="51"/>
      <c r="B74" s="52" t="str">
        <f>"В том числе объем затрат, реализуемых в "&amp;Данные!R52&amp;" году"</f>
        <v>В том числе объем затрат, реализуемых в 2025 году</v>
      </c>
      <c r="C74" s="53">
        <f t="shared" si="3"/>
        <v>0</v>
      </c>
      <c r="D74" s="53">
        <f t="shared" si="3"/>
        <v>0</v>
      </c>
      <c r="E74" s="53">
        <f t="shared" si="3"/>
        <v>0</v>
      </c>
      <c r="F74" s="53">
        <f t="shared" si="3"/>
        <v>0</v>
      </c>
      <c r="G74" s="53">
        <f t="shared" si="3"/>
        <v>0</v>
      </c>
      <c r="H74" s="53">
        <f t="shared" si="2"/>
        <v>0</v>
      </c>
    </row>
    <row r="75" spans="1:9" hidden="1" x14ac:dyDescent="0.25">
      <c r="A75" s="51"/>
      <c r="B75" s="52" t="str">
        <f>"В том числе объем затрат, реализуемых в "&amp;Данные!R53&amp;" году"</f>
        <v>В том числе объем затрат, реализуемых в 2026 году</v>
      </c>
      <c r="C75" s="53">
        <f t="shared" si="3"/>
        <v>0</v>
      </c>
      <c r="D75" s="53">
        <f t="shared" si="3"/>
        <v>0</v>
      </c>
      <c r="E75" s="53">
        <f t="shared" si="3"/>
        <v>0</v>
      </c>
      <c r="F75" s="53">
        <f t="shared" si="3"/>
        <v>0</v>
      </c>
      <c r="G75" s="53">
        <f t="shared" si="3"/>
        <v>0</v>
      </c>
      <c r="H75" s="53">
        <f t="shared" si="2"/>
        <v>0</v>
      </c>
    </row>
    <row r="76" spans="1:9" hidden="1" x14ac:dyDescent="0.25">
      <c r="A76" s="51"/>
      <c r="B76" s="52" t="str">
        <f>"В том числе объем затрат, реализуемых в "&amp;Данные!R54&amp;" году"</f>
        <v>В том числе объем затрат, реализуемых в 2027 году</v>
      </c>
      <c r="C76" s="53">
        <f t="shared" si="3"/>
        <v>0</v>
      </c>
      <c r="D76" s="53">
        <f t="shared" si="3"/>
        <v>0</v>
      </c>
      <c r="E76" s="53">
        <f t="shared" si="3"/>
        <v>0</v>
      </c>
      <c r="F76" s="53">
        <f t="shared" si="3"/>
        <v>0</v>
      </c>
      <c r="G76" s="53">
        <f t="shared" si="3"/>
        <v>0</v>
      </c>
      <c r="H76" s="53">
        <f t="shared" si="2"/>
        <v>0</v>
      </c>
    </row>
    <row r="77" spans="1:9" hidden="1" x14ac:dyDescent="0.25">
      <c r="A77" s="51"/>
      <c r="B77" s="52" t="str">
        <f>"В том числе объем затрат, реализуемых в "&amp;Данные!R55&amp;" году"</f>
        <v>В том числе объем затрат, реализуемых в 2028 году</v>
      </c>
      <c r="C77" s="53">
        <f t="shared" si="3"/>
        <v>0</v>
      </c>
      <c r="D77" s="53">
        <f t="shared" si="3"/>
        <v>0</v>
      </c>
      <c r="E77" s="53">
        <f t="shared" si="3"/>
        <v>0</v>
      </c>
      <c r="F77" s="53">
        <f t="shared" si="3"/>
        <v>0</v>
      </c>
      <c r="G77" s="53">
        <f t="shared" si="3"/>
        <v>0</v>
      </c>
      <c r="H77" s="53">
        <f t="shared" si="2"/>
        <v>0</v>
      </c>
    </row>
    <row r="78" spans="1:9" hidden="1" x14ac:dyDescent="0.25">
      <c r="A78" s="51"/>
      <c r="B78" s="52" t="str">
        <f>"В том числе объем затрат, реализуемых в "&amp;Данные!R56&amp;" году"</f>
        <v>В том числе объем затрат, реализуемых в 2029 году</v>
      </c>
      <c r="C78" s="53">
        <f t="shared" si="3"/>
        <v>0</v>
      </c>
      <c r="D78" s="53">
        <f t="shared" si="3"/>
        <v>0</v>
      </c>
      <c r="E78" s="53">
        <f t="shared" si="3"/>
        <v>0</v>
      </c>
      <c r="F78" s="53">
        <f t="shared" si="3"/>
        <v>0</v>
      </c>
      <c r="G78" s="53">
        <f t="shared" si="3"/>
        <v>0</v>
      </c>
      <c r="H78" s="53">
        <f t="shared" si="2"/>
        <v>0</v>
      </c>
    </row>
    <row r="79" spans="1:9" hidden="1" x14ac:dyDescent="0.25">
      <c r="A79" s="51"/>
      <c r="B79" s="52" t="str">
        <f>"В том числе объем затрат, реализуемых в "&amp;Данные!R57&amp;" году"</f>
        <v>В том числе объем затрат, реализуемых в 2030 году</v>
      </c>
      <c r="C79" s="53">
        <f t="shared" si="3"/>
        <v>0</v>
      </c>
      <c r="D79" s="53">
        <f t="shared" si="3"/>
        <v>0</v>
      </c>
      <c r="E79" s="53">
        <f t="shared" si="3"/>
        <v>0</v>
      </c>
      <c r="F79" s="53">
        <f t="shared" si="3"/>
        <v>0</v>
      </c>
      <c r="G79" s="53">
        <f t="shared" si="3"/>
        <v>0</v>
      </c>
      <c r="H79" s="53">
        <f>SUM(C79:G79)</f>
        <v>0</v>
      </c>
    </row>
    <row r="80" spans="1:9" ht="25.5" hidden="1" x14ac:dyDescent="0.25">
      <c r="A80" s="29"/>
      <c r="B80" s="49" t="s">
        <v>66</v>
      </c>
      <c r="C80" s="34"/>
      <c r="D80" s="34"/>
      <c r="E80" s="34"/>
      <c r="F80" s="34"/>
      <c r="G80" s="34"/>
      <c r="H80" s="38"/>
      <c r="I80" s="57"/>
    </row>
    <row r="81" spans="1:9" ht="22.5" hidden="1" x14ac:dyDescent="0.25">
      <c r="A81" s="51"/>
      <c r="B81" s="52" t="s">
        <v>73</v>
      </c>
      <c r="C81" s="53">
        <v>3.83</v>
      </c>
      <c r="D81" s="53">
        <v>3.96</v>
      </c>
      <c r="E81" s="53">
        <v>16.29</v>
      </c>
      <c r="F81" s="53">
        <v>4.46</v>
      </c>
      <c r="G81" s="53">
        <v>8.7899999999999991</v>
      </c>
      <c r="H81" s="53"/>
      <c r="I81" s="57"/>
    </row>
    <row r="82" spans="1:9" ht="22.5" hidden="1" x14ac:dyDescent="0.25">
      <c r="A82" s="51"/>
      <c r="B82" s="52" t="s">
        <v>74</v>
      </c>
      <c r="C82" s="53">
        <v>3.83</v>
      </c>
      <c r="D82" s="53">
        <v>4.58</v>
      </c>
      <c r="E82" s="53">
        <v>16.29</v>
      </c>
      <c r="F82" s="53">
        <v>4.46</v>
      </c>
      <c r="G82" s="53">
        <v>8.7899999999999991</v>
      </c>
      <c r="H82" s="53"/>
      <c r="I82" s="57"/>
    </row>
    <row r="83" spans="1:9" ht="22.5" hidden="1" x14ac:dyDescent="0.25">
      <c r="A83" s="51"/>
      <c r="B83" s="52" t="s">
        <v>75</v>
      </c>
      <c r="C83" s="53">
        <v>3.83</v>
      </c>
      <c r="D83" s="53">
        <v>7.59</v>
      </c>
      <c r="E83" s="53">
        <v>16.29</v>
      </c>
      <c r="F83" s="53">
        <v>4.46</v>
      </c>
      <c r="G83" s="53">
        <v>8.7899999999999991</v>
      </c>
      <c r="H83" s="53"/>
      <c r="I83" s="57"/>
    </row>
    <row r="84" spans="1:9" ht="38.25" hidden="1" x14ac:dyDescent="0.25">
      <c r="A84" s="42"/>
      <c r="B84" s="49" t="s">
        <v>62</v>
      </c>
      <c r="C84" s="34">
        <f>C35*НДС</f>
        <v>220.32480000000001</v>
      </c>
      <c r="D84" s="34">
        <f>D35*НДС</f>
        <v>1534.2515999999998</v>
      </c>
      <c r="E84" s="34">
        <f>E35*НДС</f>
        <v>0.28199999999999997</v>
      </c>
      <c r="F84" s="34">
        <f>F35*НДС</f>
        <v>0</v>
      </c>
      <c r="G84" s="34">
        <f>G35*НДС</f>
        <v>41.82</v>
      </c>
      <c r="H84" s="43">
        <f>SUM(C84:G84)</f>
        <v>1796.6783999999998</v>
      </c>
    </row>
    <row r="85" spans="1:9" ht="42" customHeight="1" x14ac:dyDescent="0.25">
      <c r="A85" s="29">
        <v>2</v>
      </c>
      <c r="B85" s="24" t="str">
        <f>"Индексы-дефляторы Минэкономразвития от года текущих цен в расчете ("&amp;Индекс_цен&amp;") до года реализации проекта"</f>
        <v>Индексы-дефляторы Минэкономразвития от года текущих цен в расчете (3 кв 2021) до года реализации проекта</v>
      </c>
      <c r="C85" s="6"/>
      <c r="D85" s="5"/>
      <c r="E85" s="5"/>
      <c r="F85" s="5"/>
      <c r="G85" s="4"/>
      <c r="H85" s="54"/>
    </row>
    <row r="86" spans="1:9" ht="27" hidden="1" customHeight="1" x14ac:dyDescent="0.25">
      <c r="A86" s="51"/>
      <c r="B86" s="52" t="str">
        <f>"Индексы-дефляторы Минэкономразвития от года текущих цен в расчете ("&amp;Индекс_цен&amp;") до года реализации("&amp;Данные!A18&amp;")"</f>
        <v>Индексы-дефляторы Минэкономразвития от года текущих цен в расчете (3 кв 2021) до года реализации(2012)</v>
      </c>
      <c r="C86" s="95">
        <f>Данные!F18</f>
        <v>1</v>
      </c>
      <c r="D86" s="10"/>
      <c r="E86" s="10"/>
      <c r="F86" s="10"/>
      <c r="G86" s="9"/>
      <c r="H86" s="65">
        <f>Данные!E18</f>
        <v>1</v>
      </c>
      <c r="I86" s="60"/>
    </row>
    <row r="87" spans="1:9" ht="22.5" hidden="1" x14ac:dyDescent="0.25">
      <c r="A87" s="51"/>
      <c r="B87" s="52" t="str">
        <f>"Индексы-дефляторы Минэкономразвития от года текущих цен в расчете ("&amp;Индекс_цен&amp;") до года реализации("&amp;Данные!A19&amp;")"</f>
        <v>Индексы-дефляторы Минэкономразвития от года текущих цен в расчете (3 кв 2021) до года реализации(2013)</v>
      </c>
      <c r="C87" s="95">
        <f>Данные!F19</f>
        <v>1</v>
      </c>
      <c r="D87" s="10"/>
      <c r="E87" s="10"/>
      <c r="F87" s="10"/>
      <c r="G87" s="9"/>
      <c r="H87" s="65">
        <f>Данные!E19</f>
        <v>1</v>
      </c>
      <c r="I87" s="60"/>
    </row>
    <row r="88" spans="1:9" ht="22.5" hidden="1" x14ac:dyDescent="0.25">
      <c r="A88" s="51"/>
      <c r="B88" s="52" t="str">
        <f>"Индексы-дефляторы Минэкономразвития от года текущих цен в расчете ("&amp;Индекс_цен&amp;") до года реализации("&amp;Данные!A20&amp;")"</f>
        <v>Индексы-дефляторы Минэкономразвития от года текущих цен в расчете (3 кв 2021) до года реализации(2014)</v>
      </c>
      <c r="C88" s="95">
        <f>Данные!F20</f>
        <v>1</v>
      </c>
      <c r="D88" s="10"/>
      <c r="E88" s="10"/>
      <c r="F88" s="10"/>
      <c r="G88" s="9"/>
      <c r="H88" s="65">
        <f>Данные!E20</f>
        <v>1</v>
      </c>
      <c r="I88" s="60"/>
    </row>
    <row r="89" spans="1:9" ht="22.5" hidden="1" x14ac:dyDescent="0.25">
      <c r="A89" s="51"/>
      <c r="B89" s="52" t="str">
        <f>"Индексы-дефляторы Минэкономразвития от года текущих цен в расчете ("&amp;Индекс_цен&amp;") до года реализации("&amp;Данные!A21&amp;")"</f>
        <v>Индексы-дефляторы Минэкономразвития от года текущих цен в расчете (3 кв 2021) до года реализации(2015)</v>
      </c>
      <c r="C89" s="95">
        <f>Данные!F21</f>
        <v>1</v>
      </c>
      <c r="D89" s="10"/>
      <c r="E89" s="10"/>
      <c r="F89" s="10"/>
      <c r="G89" s="9"/>
      <c r="H89" s="65">
        <f>Данные!E21</f>
        <v>1</v>
      </c>
    </row>
    <row r="90" spans="1:9" ht="22.5" hidden="1" x14ac:dyDescent="0.25">
      <c r="A90" s="51"/>
      <c r="B90" s="52" t="str">
        <f>"Индексы-дефляторы Минэкономразвития от года текущих цен в расчете ("&amp;Индекс_цен&amp;") до года реализации("&amp;Данные!A22&amp;")"</f>
        <v>Индексы-дефляторы Минэкономразвития от года текущих цен в расчете (3 кв 2021) до года реализации(2016)</v>
      </c>
      <c r="C90" s="95">
        <f>Данные!F22</f>
        <v>1</v>
      </c>
      <c r="D90" s="10"/>
      <c r="E90" s="10"/>
      <c r="F90" s="10"/>
      <c r="G90" s="9"/>
      <c r="H90" s="65">
        <f>Данные!E22</f>
        <v>1</v>
      </c>
    </row>
    <row r="91" spans="1:9" ht="22.5" hidden="1" x14ac:dyDescent="0.25">
      <c r="A91" s="51"/>
      <c r="B91" s="52" t="str">
        <f>"Индексы-дефляторы Минэкономразвития от года текущих цен в расчете ("&amp;Индекс_цен&amp;") до года реализации("&amp;Данные!A23&amp;")"</f>
        <v>Индексы-дефляторы Минэкономразвития от года текущих цен в расчете (3 кв 2021) до года реализации(2017)</v>
      </c>
      <c r="C91" s="95">
        <f>Данные!F23</f>
        <v>1</v>
      </c>
      <c r="D91" s="10"/>
      <c r="E91" s="10"/>
      <c r="F91" s="10"/>
      <c r="G91" s="9"/>
      <c r="H91" s="65">
        <f>Данные!E23</f>
        <v>1</v>
      </c>
    </row>
    <row r="92" spans="1:9" ht="22.5" hidden="1" x14ac:dyDescent="0.25">
      <c r="A92" s="51"/>
      <c r="B92" s="52" t="str">
        <f>"Индексы-дефляторы Минэкономразвития от года текущих цен в расчете ("&amp;Индекс_цен&amp;") до года реализации("&amp;Данные!A24&amp;")"</f>
        <v>Индексы-дефляторы Минэкономразвития от года текущих цен в расчете (3 кв 2021) до года реализации(2018)</v>
      </c>
      <c r="C92" s="95">
        <f>Данные!F24</f>
        <v>1</v>
      </c>
      <c r="D92" s="10"/>
      <c r="E92" s="10"/>
      <c r="F92" s="10"/>
      <c r="G92" s="9"/>
      <c r="H92" s="92">
        <f>Данные!E24</f>
        <v>1</v>
      </c>
    </row>
    <row r="93" spans="1:9" ht="22.5" hidden="1" x14ac:dyDescent="0.25">
      <c r="A93" s="51"/>
      <c r="B93" s="52" t="str">
        <f>"Индексы-дефляторы Минэкономразвития от года текущих цен в расчете ("&amp;Индекс_цен&amp;") до года реализации("&amp;Данные!A25&amp;")"</f>
        <v>Индексы-дефляторы Минэкономразвития от года текущих цен в расчете (3 кв 2021) до года реализации(2019)</v>
      </c>
      <c r="C93" s="95">
        <f>Данные!F25</f>
        <v>1</v>
      </c>
      <c r="D93" s="10"/>
      <c r="E93" s="10"/>
      <c r="F93" s="10"/>
      <c r="G93" s="9"/>
      <c r="H93" s="92">
        <f>Данные!E25</f>
        <v>1</v>
      </c>
    </row>
    <row r="94" spans="1:9" ht="22.5" hidden="1" x14ac:dyDescent="0.25">
      <c r="A94" s="51"/>
      <c r="B94" s="52" t="str">
        <f>"Индексы-дефляторы Минэкономразвития от года текущих цен в расчете ("&amp;Индекс_цен&amp;") до года реализации("&amp;Данные!A26&amp;")"</f>
        <v>Индексы-дефляторы Минэкономразвития от года текущих цен в расчете (3 кв 2021) до года реализации(2020)</v>
      </c>
      <c r="C94" s="95">
        <f>Данные!F26</f>
        <v>1</v>
      </c>
      <c r="D94" s="10"/>
      <c r="E94" s="10"/>
      <c r="F94" s="10"/>
      <c r="G94" s="9"/>
      <c r="H94" s="92">
        <f>Данные!E26</f>
        <v>1</v>
      </c>
    </row>
    <row r="95" spans="1:9" ht="22.5" x14ac:dyDescent="0.25">
      <c r="A95" s="51"/>
      <c r="B95" s="52" t="str">
        <f>"Индексы-дефляторы Минэкономразвития от года текущих цен в расчете ("&amp;Индекс_цен&amp;") до года реализации("&amp;Данные!A27&amp;")"</f>
        <v>Индексы-дефляторы Минэкономразвития от года текущих цен в расчете (3 кв 2021) до года реализации(2021)</v>
      </c>
      <c r="C95" s="95">
        <f>Данные!F27</f>
        <v>1</v>
      </c>
      <c r="D95" s="10"/>
      <c r="E95" s="10"/>
      <c r="F95" s="10"/>
      <c r="G95" s="9"/>
      <c r="H95" s="92">
        <f>Данные!E27</f>
        <v>1</v>
      </c>
    </row>
    <row r="96" spans="1:9" ht="22.5" hidden="1" x14ac:dyDescent="0.25">
      <c r="A96" s="51"/>
      <c r="B96" s="52" t="str">
        <f>"Индексы-дефляторы Минэкономразвития от года текущих цен в расчете ("&amp;Индекс_цен&amp;") до года реализации("&amp;Данные!A28&amp;")"</f>
        <v>Индексы-дефляторы Минэкономразвития от года текущих цен в расчете (3 кв 2021) до года реализации(2022)</v>
      </c>
      <c r="C96" s="95" t="str">
        <f>Данные!F28</f>
        <v>(1.051003564654480+1)/2</v>
      </c>
      <c r="D96" s="10"/>
      <c r="E96" s="10"/>
      <c r="F96" s="10"/>
      <c r="G96" s="9"/>
      <c r="H96" s="92">
        <f>Данные!E28</f>
        <v>1.0255017823272401</v>
      </c>
    </row>
    <row r="97" spans="1:10" ht="22.5" hidden="1" x14ac:dyDescent="0.25">
      <c r="A97" s="51"/>
      <c r="B97" s="52" t="str">
        <f>"Индексы-дефляторы Минэкономразвития от года текущих цен в расчете ("&amp;Индекс_цен&amp;") до года реализации ("&amp;Данные!A29&amp;")"</f>
        <v>Индексы-дефляторы Минэкономразвития от года текущих цен в расчете (3 кв 2021) до года реализации (2023)</v>
      </c>
      <c r="C97" s="95" t="str">
        <f>Данные!F29</f>
        <v>(1.049001762230180+1)/2*1.051003564654480</v>
      </c>
      <c r="D97" s="10"/>
      <c r="E97" s="10"/>
      <c r="F97" s="10"/>
      <c r="G97" s="9"/>
      <c r="H97" s="92">
        <f>Данные!E29</f>
        <v>1.0767540780436151</v>
      </c>
    </row>
    <row r="98" spans="1:10" ht="22.5" x14ac:dyDescent="0.25">
      <c r="A98" s="51"/>
      <c r="B98" s="52" t="str">
        <f>"Индексы-дефляторы Минэкономразвития от года текущих цен в расчете ("&amp;Индекс_цен&amp;") до года реализации("&amp;Данные!A30&amp;")"</f>
        <v>Индексы-дефляторы Минэкономразвития от года текущих цен в расчете (3 кв 2021) до года реализации(2024)</v>
      </c>
      <c r="C98" s="95" t="str">
        <f>Данные!F30</f>
        <v>(1.047000273037250+1)/2*1.051003564654480*1.049001762230180</v>
      </c>
      <c r="D98" s="10"/>
      <c r="E98" s="10"/>
      <c r="F98" s="10"/>
      <c r="G98" s="9"/>
      <c r="H98" s="92">
        <f>Данные!E30</f>
        <v>1.1284135998438309</v>
      </c>
    </row>
    <row r="99" spans="1:10" ht="22.5" hidden="1" x14ac:dyDescent="0.25">
      <c r="A99" s="51"/>
      <c r="B99" s="52" t="str">
        <f>"Индексы-дефляторы Минэкономразвития от года текущих цен в расчете ("&amp;Индекс_цен&amp;") до года реализации("&amp;Данные!A31&amp;")"</f>
        <v>Индексы-дефляторы Минэкономразвития от года текущих цен в расчете (3 кв 2021) до года реализации(2025)</v>
      </c>
      <c r="C99" s="95" t="str">
        <f>Данные!F31</f>
        <v>(1.047000273037250+1)/2*1.051003564654480*1.049001762230180*1.047000273037250</v>
      </c>
      <c r="D99" s="10"/>
      <c r="E99" s="10"/>
      <c r="F99" s="10"/>
      <c r="G99" s="9"/>
      <c r="H99" s="92">
        <f>Данные!E31</f>
        <v>1.1814493471354373</v>
      </c>
    </row>
    <row r="100" spans="1:10" ht="22.5" hidden="1" x14ac:dyDescent="0.25">
      <c r="A100" s="51"/>
      <c r="B100" s="52" t="str">
        <f>"Индексы-дефляторы Минэкономразвития от года текущих цен в расчете ("&amp;Индекс_цен&amp;") до года реализации("&amp;Данные!A32&amp;")"</f>
        <v>Индексы-дефляторы Минэкономразвития от года текущих цен в расчете (3 кв 2021) до года реализации(2026)</v>
      </c>
      <c r="C100" s="95" t="str">
        <f>Данные!F32</f>
        <v>(1.047000273037250+1)/2*1.051003564654480*1.049001762230180*1.047000273037250*1.047000273037250</v>
      </c>
      <c r="D100" s="10"/>
      <c r="E100" s="10"/>
      <c r="F100" s="10"/>
      <c r="G100" s="9"/>
      <c r="H100" s="92">
        <f>Данные!E32</f>
        <v>1.2369777890304836</v>
      </c>
    </row>
    <row r="101" spans="1:10" ht="22.5" hidden="1" x14ac:dyDescent="0.25">
      <c r="A101" s="51"/>
      <c r="B101" s="52" t="str">
        <f>"Индексы-дефляторы Минэкономразвития от года текущих цен в расчете ("&amp;Индекс_цен&amp;") до года реализации("&amp;Данные!A33&amp;")"</f>
        <v>Индексы-дефляторы Минэкономразвития от года текущих цен в расчете (3 кв 2021) до года реализации(2027)</v>
      </c>
      <c r="C101" s="95" t="str">
        <f>Данные!F33</f>
        <v>(1.047000273037250+1)/2*1.051003564654480*1.049001762230180*1.047000273037250*1.047000273037250*1.047000273037250</v>
      </c>
      <c r="D101" s="10"/>
      <c r="E101" s="10"/>
      <c r="F101" s="10"/>
      <c r="G101" s="9"/>
      <c r="H101" s="92">
        <f>Данные!E33</f>
        <v>1.2951160828559303</v>
      </c>
    </row>
    <row r="102" spans="1:10" ht="22.5" hidden="1" x14ac:dyDescent="0.25">
      <c r="A102" s="51"/>
      <c r="B102" s="52" t="str">
        <f>"Индексы-дефляторы Минэкономразвития от года текущих цен в расчете ("&amp;Индекс_цен&amp;") до года реализации ("&amp;Данные!A34&amp;")"</f>
        <v>Индексы-дефляторы Минэкономразвития от года текущих цен в расчете (3 кв 2021) до года реализации (2028)</v>
      </c>
      <c r="C102" s="95" t="str">
        <f>Данные!F34</f>
        <v>(1.047000273037250+1)/2*1.051003564654480*1.049001762230180*1.047000273037250*1.047000273037250*1.047000273037250*1.047000273037250</v>
      </c>
      <c r="D102" s="10"/>
      <c r="E102" s="10"/>
      <c r="F102" s="10"/>
      <c r="G102" s="9"/>
      <c r="H102" s="92">
        <f>Данные!E34</f>
        <v>1.3559868923650926</v>
      </c>
    </row>
    <row r="103" spans="1:10" ht="22.5" hidden="1" x14ac:dyDescent="0.25">
      <c r="A103" s="51"/>
      <c r="B103" s="52" t="str">
        <f>"Индексы-дефляторы Минэкономразвития от года текущих цен в расчете ("&amp;Индекс_цен&amp;") до года реализации("&amp;Данные!A35&amp;")"</f>
        <v>Индексы-дефляторы Минэкономразвития от года текущих цен в расчете (3 кв 2021) до года реализации(2029)</v>
      </c>
      <c r="C103" s="95" t="str">
        <f>Данные!F35</f>
        <v>(1.047000273037250+1)/2*1.051003564654480*1.049001762230180*1.047000273037250*1.047000273037250*1.047000273037250*1.047000273037250*1.047000273037250</v>
      </c>
      <c r="D103" s="10"/>
      <c r="E103" s="10"/>
      <c r="F103" s="10"/>
      <c r="G103" s="9"/>
      <c r="H103" s="92">
        <f>Данные!E35</f>
        <v>1.4197186465411842</v>
      </c>
    </row>
    <row r="104" spans="1:10" ht="22.5" hidden="1" x14ac:dyDescent="0.25">
      <c r="A104" s="51"/>
      <c r="B104" s="52" t="str">
        <f>"Индексы-дефляторы Минэкономразвития от года текущих цен в расчете ("&amp;Индекс_цен&amp;") до года реализации("&amp;Данные!A36&amp;")"</f>
        <v>Индексы-дефляторы Минэкономразвития от года текущих цен в расчете (3 кв 2021) до года реализации(2030)</v>
      </c>
      <c r="C104" s="95" t="str">
        <f>Данные!F36</f>
        <v>(1.047000273037250+1)/2*1.051003564654480*1.049001762230180*1.047000273037250*1.047000273037250*1.047000273037250*1.047000273037250*1.047000273037250*1.047000273037250</v>
      </c>
      <c r="D104" s="10"/>
      <c r="E104" s="10"/>
      <c r="F104" s="10"/>
      <c r="G104" s="9"/>
      <c r="H104" s="92">
        <f>Данные!E36</f>
        <v>1.4864458105646949</v>
      </c>
    </row>
    <row r="105" spans="1:10" ht="40.5" customHeight="1" x14ac:dyDescent="0.25">
      <c r="A105" s="29">
        <v>3</v>
      </c>
      <c r="B105" s="24" t="s">
        <v>52</v>
      </c>
      <c r="C105" s="98"/>
      <c r="D105" s="98"/>
      <c r="E105" s="98"/>
      <c r="F105" s="98"/>
      <c r="G105" s="98"/>
      <c r="H105" s="93">
        <f>ROUND(H61*H86+H62*H87+H63*H88+H64*H89+H65*H90+H66*H91+H67*H92+H68*H93+H69*H94+H70*H95+H71*H96+H72*H97+H73*H98+H74*H99+H75*H100+H76*H101+H77*H102+H78*H103+H79*H104,2)</f>
        <v>14937.24</v>
      </c>
      <c r="J105" s="55"/>
    </row>
    <row r="106" spans="1:10" ht="30" customHeight="1" x14ac:dyDescent="0.25">
      <c r="A106" s="29">
        <v>4</v>
      </c>
      <c r="B106" s="96" t="s">
        <v>47</v>
      </c>
      <c r="C106" s="96"/>
      <c r="D106" s="96"/>
      <c r="E106" s="96"/>
      <c r="F106" s="96"/>
      <c r="G106" s="96"/>
      <c r="H106" s="66">
        <f>Данные!Q4</f>
        <v>14937.171</v>
      </c>
      <c r="J106" s="55"/>
    </row>
    <row r="107" spans="1:10" x14ac:dyDescent="0.25">
      <c r="A107" s="51"/>
      <c r="B107" s="52" t="s">
        <v>48</v>
      </c>
      <c r="C107" s="97"/>
      <c r="D107" s="97"/>
      <c r="E107" s="97"/>
      <c r="F107" s="97"/>
      <c r="G107" s="97"/>
      <c r="H107" s="67">
        <f>Фин_Факт</f>
        <v>1026.7159999999999</v>
      </c>
      <c r="J107" s="55"/>
    </row>
    <row r="108" spans="1:10" x14ac:dyDescent="0.25">
      <c r="A108" s="51"/>
      <c r="B108" s="52" t="s">
        <v>49</v>
      </c>
      <c r="C108" s="97"/>
      <c r="D108" s="97"/>
      <c r="E108" s="97"/>
      <c r="F108" s="97"/>
      <c r="G108" s="97"/>
      <c r="H108" s="67">
        <f>Фин_Прочее</f>
        <v>0</v>
      </c>
      <c r="J108" s="55"/>
    </row>
    <row r="109" spans="1:10" x14ac:dyDescent="0.25">
      <c r="A109" s="68"/>
      <c r="B109" s="52" t="s">
        <v>50</v>
      </c>
      <c r="C109" s="97"/>
      <c r="D109" s="97"/>
      <c r="E109" s="97"/>
      <c r="F109" s="97"/>
      <c r="G109" s="97"/>
      <c r="H109" s="65">
        <f>Фин_Проценты</f>
        <v>0</v>
      </c>
    </row>
    <row r="113" spans="2:8" ht="15.75" hidden="1" thickBot="1" x14ac:dyDescent="0.3">
      <c r="B113" s="16" t="s">
        <v>15</v>
      </c>
    </row>
    <row r="114" spans="2:8" ht="15.75" hidden="1" thickBot="1" x14ac:dyDescent="0.3">
      <c r="B114" s="20" t="s">
        <v>8</v>
      </c>
      <c r="C114" s="21" t="s">
        <v>9</v>
      </c>
      <c r="D114" s="21" t="s">
        <v>10</v>
      </c>
      <c r="E114" s="21" t="s">
        <v>11</v>
      </c>
      <c r="F114" s="21" t="s">
        <v>12</v>
      </c>
      <c r="G114" s="21" t="s">
        <v>3</v>
      </c>
      <c r="H114" s="21" t="s">
        <v>13</v>
      </c>
    </row>
    <row r="115" spans="2:8" ht="15.75" hidden="1" thickBot="1" x14ac:dyDescent="0.3">
      <c r="B115" s="25" t="s">
        <v>40</v>
      </c>
      <c r="C115" s="22">
        <v>0</v>
      </c>
      <c r="D115" s="22">
        <v>0</v>
      </c>
      <c r="E115" s="22">
        <v>0</v>
      </c>
      <c r="F115" s="22">
        <v>0</v>
      </c>
      <c r="G115" s="22"/>
      <c r="H115" s="23"/>
    </row>
    <row r="116" spans="2:8" hidden="1" x14ac:dyDescent="0.25">
      <c r="B116" s="16"/>
    </row>
    <row r="117" spans="2:8" ht="18.75" hidden="1" thickBot="1" x14ac:dyDescent="0.3">
      <c r="B117" s="15" t="s">
        <v>6</v>
      </c>
    </row>
    <row r="118" spans="2:8" ht="15.75" hidden="1" thickBot="1" x14ac:dyDescent="0.3">
      <c r="B118" s="20" t="s">
        <v>8</v>
      </c>
      <c r="C118" s="21" t="s">
        <v>9</v>
      </c>
      <c r="D118" s="21" t="s">
        <v>10</v>
      </c>
      <c r="E118" s="21" t="s">
        <v>11</v>
      </c>
      <c r="F118" s="21" t="s">
        <v>12</v>
      </c>
      <c r="G118" s="21" t="s">
        <v>3</v>
      </c>
      <c r="H118" s="21" t="s">
        <v>13</v>
      </c>
    </row>
    <row r="119" spans="2:8" ht="26.25" hidden="1" thickBot="1" x14ac:dyDescent="0.3">
      <c r="B119" s="25" t="s">
        <v>14</v>
      </c>
      <c r="C119" s="22">
        <v>0</v>
      </c>
      <c r="D119" s="22">
        <v>0</v>
      </c>
      <c r="E119" s="22">
        <v>0</v>
      </c>
      <c r="F119" s="22">
        <v>0</v>
      </c>
      <c r="G119" s="22"/>
      <c r="H119" s="23"/>
    </row>
    <row r="120" spans="2:8" x14ac:dyDescent="0.25">
      <c r="B120" s="16"/>
    </row>
  </sheetData>
  <mergeCells count="50">
    <mergeCell ref="B106:G106"/>
    <mergeCell ref="C107:G107"/>
    <mergeCell ref="C108:G108"/>
    <mergeCell ref="C109:G109"/>
    <mergeCell ref="C105:G105"/>
    <mergeCell ref="C96:G96"/>
    <mergeCell ref="C97:G97"/>
    <mergeCell ref="C98:G98"/>
    <mergeCell ref="C95:G95"/>
    <mergeCell ref="A58:H58"/>
    <mergeCell ref="C91:G91"/>
    <mergeCell ref="C92:G92"/>
    <mergeCell ref="C86:G86"/>
    <mergeCell ref="C87:G87"/>
    <mergeCell ref="C88:G88"/>
    <mergeCell ref="C89:G89"/>
    <mergeCell ref="C90:G90"/>
    <mergeCell ref="C93:G93"/>
    <mergeCell ref="C94:G94"/>
    <mergeCell ref="C104:G104"/>
    <mergeCell ref="C99:G99"/>
    <mergeCell ref="C100:G100"/>
    <mergeCell ref="C101:G101"/>
    <mergeCell ref="C102:G102"/>
    <mergeCell ref="C103:G103"/>
    <mergeCell ref="C40:G40"/>
    <mergeCell ref="C41:G41"/>
    <mergeCell ref="C45:G45"/>
    <mergeCell ref="C50:G50"/>
    <mergeCell ref="C51:G51"/>
    <mergeCell ref="C46:G46"/>
    <mergeCell ref="C47:G47"/>
    <mergeCell ref="C48:G48"/>
    <mergeCell ref="C49:G49"/>
    <mergeCell ref="C36:G36"/>
    <mergeCell ref="C38:G38"/>
    <mergeCell ref="B1:G1"/>
    <mergeCell ref="A9:H9"/>
    <mergeCell ref="C85:G85"/>
    <mergeCell ref="C5:H5"/>
    <mergeCell ref="C56:G56"/>
    <mergeCell ref="C42:G42"/>
    <mergeCell ref="C43:G43"/>
    <mergeCell ref="C44:G44"/>
    <mergeCell ref="C52:G52"/>
    <mergeCell ref="C53:G53"/>
    <mergeCell ref="C54:G54"/>
    <mergeCell ref="C55:G55"/>
    <mergeCell ref="C37:G37"/>
    <mergeCell ref="C39:G39"/>
  </mergeCells>
  <pageMargins left="0.78740157480314998" right="0.23622047244094499" top="0.74803149606299202" bottom="0.74803149606299202" header="0.31496062992126" footer="0.31496062992126"/>
  <pageSetup paperSize="9" scale="90" fitToHeight="0" orientation="landscape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анные"/>
  <dimension ref="A1:X57"/>
  <sheetViews>
    <sheetView zoomScale="85" zoomScaleNormal="85" workbookViewId="0">
      <selection activeCell="Q4" sqref="Q4"/>
    </sheetView>
  </sheetViews>
  <sheetFormatPr defaultRowHeight="15" x14ac:dyDescent="0.25"/>
  <cols>
    <col min="1" max="1" width="19.42578125" customWidth="1"/>
    <col min="2" max="2" width="15.42578125" customWidth="1"/>
    <col min="3" max="3" width="17.85546875" customWidth="1"/>
    <col min="4" max="4" width="14.7109375" customWidth="1"/>
    <col min="5" max="5" width="10" customWidth="1"/>
    <col min="6" max="6" width="12.7109375" customWidth="1"/>
    <col min="8" max="8" width="15" customWidth="1"/>
    <col min="9" max="9" width="13.7109375" customWidth="1"/>
    <col min="10" max="10" width="16.140625" customWidth="1"/>
    <col min="13" max="13" width="6.85546875" customWidth="1"/>
    <col min="14" max="14" width="7.7109375" customWidth="1"/>
    <col min="15" max="15" width="17" customWidth="1"/>
    <col min="16" max="16" width="19.7109375" customWidth="1"/>
    <col min="17" max="17" width="10.28515625" customWidth="1"/>
    <col min="18" max="18" width="12" customWidth="1"/>
  </cols>
  <sheetData>
    <row r="1" spans="1:17" ht="56.25" customHeight="1" x14ac:dyDescent="0.25">
      <c r="A1" s="30" t="s">
        <v>0</v>
      </c>
      <c r="B1" s="77" t="s">
        <v>38</v>
      </c>
      <c r="C1" s="36"/>
      <c r="D1" s="36"/>
      <c r="E1" s="36"/>
      <c r="F1" s="86" t="s">
        <v>19</v>
      </c>
      <c r="G1" s="101" t="str">
        <f>"индекс к ценам "&amp;Индекс_цен</f>
        <v>индекс к ценам 3 кв 2021</v>
      </c>
      <c r="H1" s="102"/>
      <c r="I1" s="103"/>
      <c r="J1" s="69"/>
      <c r="K1" s="88" t="s">
        <v>67</v>
      </c>
      <c r="L1" s="89">
        <v>183.60400000000001</v>
      </c>
      <c r="O1" s="99" t="s">
        <v>55</v>
      </c>
      <c r="P1" s="100"/>
      <c r="Q1" s="72">
        <v>1026.7159999999999</v>
      </c>
    </row>
    <row r="2" spans="1:17" ht="44.25" customHeight="1" x14ac:dyDescent="0.25">
      <c r="A2" s="30" t="s">
        <v>1</v>
      </c>
      <c r="B2" s="77" t="s">
        <v>36</v>
      </c>
      <c r="C2" s="36"/>
      <c r="D2" s="36"/>
      <c r="E2" s="36"/>
      <c r="F2" s="86" t="s">
        <v>16</v>
      </c>
      <c r="G2" s="86">
        <v>0</v>
      </c>
      <c r="H2" s="90"/>
      <c r="I2" s="90"/>
      <c r="J2" s="69"/>
      <c r="K2" s="88" t="s">
        <v>68</v>
      </c>
      <c r="L2" s="89">
        <v>1278.5429999999999</v>
      </c>
      <c r="O2" s="99" t="s">
        <v>53</v>
      </c>
      <c r="P2" s="100"/>
      <c r="Q2" s="72">
        <v>0</v>
      </c>
    </row>
    <row r="3" spans="1:17" ht="39.75" customHeight="1" x14ac:dyDescent="0.25">
      <c r="A3" s="30" t="s">
        <v>2</v>
      </c>
      <c r="B3" s="77" t="s">
        <v>37</v>
      </c>
      <c r="C3" s="36"/>
      <c r="D3" s="36"/>
      <c r="E3" s="36"/>
      <c r="F3" s="86" t="s">
        <v>17</v>
      </c>
      <c r="G3" s="86">
        <v>0</v>
      </c>
      <c r="H3" s="86">
        <v>0</v>
      </c>
      <c r="I3" s="86">
        <v>0</v>
      </c>
      <c r="J3" s="69"/>
      <c r="K3" s="88" t="s">
        <v>69</v>
      </c>
      <c r="L3" s="89">
        <v>0.23499999999999999</v>
      </c>
      <c r="O3" s="99" t="s">
        <v>54</v>
      </c>
      <c r="P3" s="100"/>
      <c r="Q3" s="72">
        <v>0</v>
      </c>
    </row>
    <row r="4" spans="1:17" ht="15.75" x14ac:dyDescent="0.25">
      <c r="A4" s="30" t="s">
        <v>4</v>
      </c>
      <c r="B4" s="77" t="s">
        <v>35</v>
      </c>
      <c r="C4" s="36"/>
      <c r="D4" s="36"/>
      <c r="E4" s="36"/>
      <c r="F4" s="86" t="s">
        <v>11</v>
      </c>
      <c r="G4" s="86">
        <v>0</v>
      </c>
      <c r="H4" s="90"/>
      <c r="I4" s="90"/>
      <c r="J4" s="69"/>
      <c r="K4" s="88" t="s">
        <v>70</v>
      </c>
      <c r="L4" s="89">
        <v>0</v>
      </c>
      <c r="O4" s="73" t="s">
        <v>51</v>
      </c>
      <c r="P4" s="72"/>
      <c r="Q4" s="74">
        <v>14937.171</v>
      </c>
    </row>
    <row r="5" spans="1:17" ht="15.75" x14ac:dyDescent="0.25">
      <c r="A5" s="31" t="s">
        <v>34</v>
      </c>
      <c r="B5" s="35">
        <v>1.2</v>
      </c>
      <c r="C5" s="36"/>
      <c r="D5" s="36"/>
      <c r="E5" s="36"/>
      <c r="F5" s="86" t="s">
        <v>18</v>
      </c>
      <c r="G5" s="86">
        <v>0</v>
      </c>
      <c r="H5" s="90"/>
      <c r="I5" s="90"/>
      <c r="J5" s="69"/>
      <c r="K5" s="88" t="s">
        <v>71</v>
      </c>
      <c r="L5" s="89">
        <v>34.85</v>
      </c>
    </row>
    <row r="6" spans="1:17" ht="15.75" x14ac:dyDescent="0.25">
      <c r="A6" s="30" t="s">
        <v>77</v>
      </c>
      <c r="B6" s="91" t="s">
        <v>76</v>
      </c>
      <c r="C6" s="36"/>
      <c r="D6" s="36"/>
      <c r="E6" s="36"/>
      <c r="F6" s="86" t="s">
        <v>3</v>
      </c>
      <c r="G6" s="86">
        <v>0</v>
      </c>
      <c r="H6" s="90"/>
      <c r="I6" s="90"/>
      <c r="J6" s="69"/>
    </row>
    <row r="7" spans="1:17" ht="15.75" x14ac:dyDescent="0.25">
      <c r="A7" s="30"/>
      <c r="B7" s="36"/>
      <c r="C7" s="36"/>
      <c r="D7" s="36"/>
      <c r="E7" s="36"/>
      <c r="F7" s="87"/>
      <c r="G7" s="87" t="s">
        <v>64</v>
      </c>
      <c r="H7" s="87" t="s">
        <v>65</v>
      </c>
      <c r="I7" s="87" t="s">
        <v>63</v>
      </c>
      <c r="J7" s="69"/>
    </row>
    <row r="8" spans="1:17" ht="15.75" x14ac:dyDescent="0.25">
      <c r="A8" s="30"/>
      <c r="B8" s="36"/>
      <c r="C8" s="36"/>
      <c r="D8" s="36"/>
      <c r="E8" s="36"/>
      <c r="F8" s="41"/>
      <c r="J8" s="69"/>
    </row>
    <row r="9" spans="1:17" ht="15.75" x14ac:dyDescent="0.25">
      <c r="A9" s="30"/>
      <c r="B9" s="36"/>
      <c r="C9" s="36"/>
      <c r="D9" s="36"/>
      <c r="E9" s="36"/>
      <c r="F9" s="41"/>
      <c r="J9" s="69"/>
    </row>
    <row r="10" spans="1:17" ht="15.75" customHeight="1" x14ac:dyDescent="0.25">
      <c r="C10" s="35"/>
      <c r="D10" s="35"/>
      <c r="E10" s="35"/>
      <c r="F10" s="33"/>
      <c r="G10" s="33"/>
      <c r="H10" s="33"/>
    </row>
    <row r="12" spans="1:17" ht="15.75" x14ac:dyDescent="0.25">
      <c r="A12" s="31"/>
      <c r="B12" s="35"/>
      <c r="C12" s="35"/>
      <c r="D12" s="35"/>
      <c r="E12" s="35"/>
    </row>
    <row r="13" spans="1:17" ht="15.75" x14ac:dyDescent="0.25">
      <c r="A13" s="30"/>
      <c r="B13" s="37"/>
      <c r="G13" s="70" t="s">
        <v>41</v>
      </c>
      <c r="H13" s="32"/>
      <c r="I13" s="32"/>
      <c r="J13" s="32"/>
      <c r="K13" s="32"/>
      <c r="L13" s="32"/>
      <c r="M13" s="32"/>
      <c r="N13" s="32"/>
      <c r="O13" s="32"/>
      <c r="P13" s="32"/>
    </row>
    <row r="14" spans="1:17" ht="15.75" x14ac:dyDescent="0.25">
      <c r="A14" s="30"/>
      <c r="B14" s="37"/>
      <c r="G14" s="70" t="s">
        <v>42</v>
      </c>
    </row>
    <row r="15" spans="1:17" ht="15.75" x14ac:dyDescent="0.25">
      <c r="A15" s="30"/>
      <c r="B15" s="35"/>
      <c r="G15" s="70" t="s">
        <v>43</v>
      </c>
      <c r="H15" s="56"/>
    </row>
    <row r="16" spans="1:17" ht="15.75" x14ac:dyDescent="0.25">
      <c r="G16" s="71" t="s">
        <v>78</v>
      </c>
    </row>
    <row r="17" spans="1:14" x14ac:dyDescent="0.25">
      <c r="A17" s="79" t="s">
        <v>56</v>
      </c>
      <c r="B17" s="80" t="s">
        <v>57</v>
      </c>
      <c r="C17" s="84" t="s">
        <v>58</v>
      </c>
      <c r="D17" s="84" t="s">
        <v>59</v>
      </c>
      <c r="E17" s="85" t="s">
        <v>60</v>
      </c>
      <c r="F17" s="83" t="s">
        <v>61</v>
      </c>
    </row>
    <row r="18" spans="1:14" x14ac:dyDescent="0.25">
      <c r="A18" s="78">
        <v>2012</v>
      </c>
      <c r="B18" s="75">
        <v>1</v>
      </c>
      <c r="C18" s="76">
        <f t="shared" ref="C18:C36" si="0">(B18+1)/2</f>
        <v>1</v>
      </c>
      <c r="D18" s="76">
        <f>C18</f>
        <v>1</v>
      </c>
      <c r="E18" s="62">
        <f t="shared" ref="E18:E36" si="1">D18*C18</f>
        <v>1</v>
      </c>
      <c r="F18" s="61">
        <v>1</v>
      </c>
      <c r="G18" s="64"/>
      <c r="H18" s="64"/>
      <c r="I18" s="64"/>
      <c r="J18" s="64"/>
      <c r="K18" s="64"/>
      <c r="L18" s="64"/>
      <c r="M18" s="64"/>
      <c r="N18" s="64"/>
    </row>
    <row r="19" spans="1:14" x14ac:dyDescent="0.25">
      <c r="A19" s="78">
        <v>2013</v>
      </c>
      <c r="B19" s="75">
        <v>1</v>
      </c>
      <c r="C19" s="76">
        <f t="shared" si="0"/>
        <v>1</v>
      </c>
      <c r="D19" s="76">
        <f t="shared" ref="D19:D36" si="2">D18*B18</f>
        <v>1</v>
      </c>
      <c r="E19" s="63">
        <f t="shared" si="1"/>
        <v>1</v>
      </c>
      <c r="F19" s="61">
        <v>1</v>
      </c>
      <c r="G19" s="64"/>
      <c r="H19" s="64"/>
      <c r="I19" s="64"/>
      <c r="J19" s="64"/>
      <c r="K19" s="64"/>
      <c r="L19" s="64"/>
      <c r="M19" s="64"/>
      <c r="N19" s="64"/>
    </row>
    <row r="20" spans="1:14" x14ac:dyDescent="0.25">
      <c r="A20" s="78">
        <v>2014</v>
      </c>
      <c r="B20" s="75">
        <v>1</v>
      </c>
      <c r="C20" s="76">
        <f t="shared" si="0"/>
        <v>1</v>
      </c>
      <c r="D20" s="76">
        <f t="shared" si="2"/>
        <v>1</v>
      </c>
      <c r="E20" s="63">
        <f t="shared" si="1"/>
        <v>1</v>
      </c>
      <c r="F20" s="61">
        <v>1</v>
      </c>
      <c r="G20" s="64"/>
      <c r="H20" s="64"/>
      <c r="I20" s="64"/>
      <c r="J20" s="64"/>
      <c r="K20" s="64"/>
      <c r="L20" s="64"/>
      <c r="M20" s="64"/>
      <c r="N20" s="64"/>
    </row>
    <row r="21" spans="1:14" x14ac:dyDescent="0.25">
      <c r="A21" s="78">
        <v>2015</v>
      </c>
      <c r="B21" s="75">
        <v>1</v>
      </c>
      <c r="C21" s="76">
        <f t="shared" si="0"/>
        <v>1</v>
      </c>
      <c r="D21" s="76">
        <f t="shared" si="2"/>
        <v>1</v>
      </c>
      <c r="E21" s="63">
        <f t="shared" si="1"/>
        <v>1</v>
      </c>
      <c r="F21" s="61">
        <v>1</v>
      </c>
      <c r="G21" s="64"/>
      <c r="H21" s="64"/>
      <c r="I21" s="64"/>
      <c r="J21" s="64"/>
      <c r="K21" s="64"/>
      <c r="L21" s="64"/>
      <c r="M21" s="64"/>
      <c r="N21" s="64"/>
    </row>
    <row r="22" spans="1:14" x14ac:dyDescent="0.25">
      <c r="A22" s="78">
        <v>2016</v>
      </c>
      <c r="B22" s="75">
        <v>1</v>
      </c>
      <c r="C22" s="76">
        <f t="shared" si="0"/>
        <v>1</v>
      </c>
      <c r="D22" s="76">
        <f t="shared" si="2"/>
        <v>1</v>
      </c>
      <c r="E22" s="63">
        <f t="shared" si="1"/>
        <v>1</v>
      </c>
      <c r="F22" s="61">
        <v>1</v>
      </c>
      <c r="G22" s="64"/>
      <c r="H22" s="64"/>
      <c r="I22" s="64"/>
      <c r="J22" s="64"/>
      <c r="K22" s="64"/>
      <c r="L22" s="64"/>
      <c r="M22" s="64"/>
      <c r="N22" s="64"/>
    </row>
    <row r="23" spans="1:14" x14ac:dyDescent="0.25">
      <c r="A23" s="78">
        <v>2017</v>
      </c>
      <c r="B23" s="75">
        <v>1</v>
      </c>
      <c r="C23" s="76">
        <f t="shared" si="0"/>
        <v>1</v>
      </c>
      <c r="D23" s="76">
        <f t="shared" si="2"/>
        <v>1</v>
      </c>
      <c r="E23" s="63">
        <f t="shared" si="1"/>
        <v>1</v>
      </c>
      <c r="F23" s="61">
        <v>1</v>
      </c>
      <c r="G23" s="64"/>
      <c r="H23" s="64"/>
      <c r="I23" s="64"/>
      <c r="J23" s="64"/>
      <c r="K23" s="64"/>
      <c r="L23" s="64"/>
      <c r="M23" s="64"/>
      <c r="N23" s="64"/>
    </row>
    <row r="24" spans="1:14" x14ac:dyDescent="0.25">
      <c r="A24" s="78">
        <v>2018</v>
      </c>
      <c r="B24" s="75">
        <v>1</v>
      </c>
      <c r="C24" s="76">
        <f t="shared" si="0"/>
        <v>1</v>
      </c>
      <c r="D24" s="76">
        <f t="shared" si="2"/>
        <v>1</v>
      </c>
      <c r="E24" s="63">
        <f t="shared" si="1"/>
        <v>1</v>
      </c>
      <c r="F24" s="61">
        <v>1</v>
      </c>
      <c r="G24" s="64"/>
      <c r="H24" s="64"/>
      <c r="I24" s="64"/>
      <c r="J24" s="64"/>
      <c r="K24" s="64"/>
      <c r="L24" s="64"/>
      <c r="M24" s="64"/>
      <c r="N24" s="64"/>
    </row>
    <row r="25" spans="1:14" x14ac:dyDescent="0.25">
      <c r="A25" s="78">
        <v>2019</v>
      </c>
      <c r="B25" s="75">
        <v>1</v>
      </c>
      <c r="C25" s="76">
        <f t="shared" si="0"/>
        <v>1</v>
      </c>
      <c r="D25" s="76">
        <f t="shared" si="2"/>
        <v>1</v>
      </c>
      <c r="E25" s="63">
        <f t="shared" si="1"/>
        <v>1</v>
      </c>
      <c r="F25" s="61">
        <v>1</v>
      </c>
      <c r="G25" s="64"/>
      <c r="H25" s="64"/>
      <c r="I25" s="64"/>
      <c r="J25" s="64"/>
      <c r="K25" s="64"/>
      <c r="L25" s="64"/>
      <c r="M25" s="64"/>
      <c r="N25" s="64"/>
    </row>
    <row r="26" spans="1:14" x14ac:dyDescent="0.25">
      <c r="A26" s="78">
        <v>2020</v>
      </c>
      <c r="B26" s="75">
        <v>1</v>
      </c>
      <c r="C26" s="76">
        <f t="shared" si="0"/>
        <v>1</v>
      </c>
      <c r="D26" s="76">
        <f t="shared" si="2"/>
        <v>1</v>
      </c>
      <c r="E26" s="63">
        <f t="shared" si="1"/>
        <v>1</v>
      </c>
      <c r="F26" s="61">
        <v>1</v>
      </c>
      <c r="G26" s="64"/>
      <c r="H26" s="64"/>
      <c r="I26" s="64"/>
      <c r="J26" s="64"/>
      <c r="K26" s="64"/>
      <c r="L26" s="64"/>
      <c r="M26" s="64"/>
      <c r="N26" s="64"/>
    </row>
    <row r="27" spans="1:14" x14ac:dyDescent="0.25">
      <c r="A27" s="78">
        <v>2021</v>
      </c>
      <c r="B27" s="75">
        <v>1</v>
      </c>
      <c r="C27" s="76">
        <f t="shared" si="0"/>
        <v>1</v>
      </c>
      <c r="D27" s="76">
        <f t="shared" si="2"/>
        <v>1</v>
      </c>
      <c r="E27" s="63">
        <f t="shared" si="1"/>
        <v>1</v>
      </c>
      <c r="F27" s="61">
        <v>1</v>
      </c>
      <c r="G27" s="64"/>
      <c r="H27" s="64"/>
      <c r="I27" s="64"/>
      <c r="J27" s="64"/>
      <c r="K27" s="64"/>
      <c r="L27" s="64"/>
      <c r="M27" s="64"/>
      <c r="N27" s="64"/>
    </row>
    <row r="28" spans="1:14" x14ac:dyDescent="0.25">
      <c r="A28" s="78">
        <v>2022</v>
      </c>
      <c r="B28" s="75">
        <v>1.05100356465448</v>
      </c>
      <c r="C28" s="76">
        <f t="shared" si="0"/>
        <v>1.0255017823272401</v>
      </c>
      <c r="D28" s="76">
        <f t="shared" si="2"/>
        <v>1</v>
      </c>
      <c r="E28" s="63">
        <f t="shared" si="1"/>
        <v>1.0255017823272401</v>
      </c>
      <c r="F28" s="61" t="s">
        <v>82</v>
      </c>
      <c r="G28" s="64"/>
      <c r="H28" s="64"/>
      <c r="I28" s="64"/>
      <c r="J28" s="64"/>
      <c r="K28" s="64"/>
      <c r="L28" s="64"/>
      <c r="M28" s="64"/>
      <c r="N28" s="64"/>
    </row>
    <row r="29" spans="1:14" x14ac:dyDescent="0.25">
      <c r="A29" s="78">
        <v>2023</v>
      </c>
      <c r="B29" s="75">
        <v>1.0490017622301799</v>
      </c>
      <c r="C29" s="76">
        <f t="shared" si="0"/>
        <v>1.02450088111509</v>
      </c>
      <c r="D29" s="76">
        <f t="shared" si="2"/>
        <v>1.05100356465448</v>
      </c>
      <c r="E29" s="63">
        <f t="shared" si="1"/>
        <v>1.0767540780436151</v>
      </c>
      <c r="F29" s="61" t="s">
        <v>83</v>
      </c>
      <c r="G29" s="64"/>
      <c r="H29" s="64"/>
      <c r="I29" s="64"/>
      <c r="J29" s="64"/>
      <c r="K29" s="64"/>
      <c r="L29" s="64"/>
      <c r="M29" s="64"/>
      <c r="N29" s="64"/>
    </row>
    <row r="30" spans="1:14" x14ac:dyDescent="0.25">
      <c r="A30" s="78">
        <v>2024</v>
      </c>
      <c r="B30" s="75">
        <v>1.0470002730372501</v>
      </c>
      <c r="C30" s="76">
        <f t="shared" si="0"/>
        <v>1.0235001365186251</v>
      </c>
      <c r="D30" s="76">
        <f t="shared" si="2"/>
        <v>1.1025045914327503</v>
      </c>
      <c r="E30" s="63">
        <f t="shared" si="1"/>
        <v>1.1284135998438309</v>
      </c>
      <c r="F30" s="61" t="s">
        <v>84</v>
      </c>
      <c r="G30" s="64"/>
      <c r="H30" s="64"/>
      <c r="I30" s="64"/>
      <c r="J30" s="64"/>
      <c r="K30" s="64"/>
      <c r="L30" s="64"/>
      <c r="M30" s="64"/>
      <c r="N30" s="64"/>
    </row>
    <row r="31" spans="1:14" x14ac:dyDescent="0.25">
      <c r="A31" s="78">
        <v>2025</v>
      </c>
      <c r="B31" s="75">
        <v>1.0470002730372501</v>
      </c>
      <c r="C31" s="76">
        <f t="shared" si="0"/>
        <v>1.0235001365186251</v>
      </c>
      <c r="D31" s="76">
        <f t="shared" si="2"/>
        <v>1.1543226082549114</v>
      </c>
      <c r="E31" s="63">
        <f t="shared" si="1"/>
        <v>1.1814493471354373</v>
      </c>
      <c r="F31" s="61" t="s">
        <v>85</v>
      </c>
      <c r="G31" s="64"/>
      <c r="H31" s="64"/>
      <c r="I31" s="64"/>
      <c r="J31" s="64"/>
      <c r="K31" s="64"/>
      <c r="L31" s="64"/>
      <c r="M31" s="64"/>
      <c r="N31" s="64"/>
    </row>
    <row r="32" spans="1:14" x14ac:dyDescent="0.25">
      <c r="A32" s="78">
        <v>2026</v>
      </c>
      <c r="B32" s="75">
        <v>1.0470002730372501</v>
      </c>
      <c r="C32" s="76">
        <f t="shared" si="0"/>
        <v>1.0235001365186251</v>
      </c>
      <c r="D32" s="76">
        <f t="shared" si="2"/>
        <v>1.2085760860159629</v>
      </c>
      <c r="E32" s="63">
        <f t="shared" si="1"/>
        <v>1.2369777890304836</v>
      </c>
      <c r="F32" s="61" t="s">
        <v>86</v>
      </c>
      <c r="G32" s="64"/>
      <c r="H32" s="64"/>
      <c r="I32" s="64"/>
      <c r="J32" s="64"/>
      <c r="K32" s="64"/>
      <c r="L32" s="64"/>
      <c r="M32" s="64"/>
      <c r="N32" s="64"/>
    </row>
    <row r="33" spans="1:24" x14ac:dyDescent="0.25">
      <c r="A33" s="78">
        <v>2027</v>
      </c>
      <c r="B33" s="75">
        <v>1.0470002730372501</v>
      </c>
      <c r="C33" s="76">
        <f t="shared" si="0"/>
        <v>1.0235001365186251</v>
      </c>
      <c r="D33" s="76">
        <f t="shared" si="2"/>
        <v>1.2653794920450041</v>
      </c>
      <c r="E33" s="63">
        <f t="shared" si="1"/>
        <v>1.2951160828559303</v>
      </c>
      <c r="F33" s="61" t="s">
        <v>87</v>
      </c>
      <c r="G33" s="64"/>
      <c r="H33" s="64"/>
      <c r="I33" s="64"/>
      <c r="J33" s="64"/>
      <c r="K33" s="64"/>
      <c r="L33" s="64"/>
      <c r="M33" s="64"/>
      <c r="N33" s="64"/>
    </row>
    <row r="34" spans="1:24" x14ac:dyDescent="0.25">
      <c r="A34" s="78">
        <v>2028</v>
      </c>
      <c r="B34" s="75">
        <v>1.0470002730372501</v>
      </c>
      <c r="C34" s="76">
        <f t="shared" si="0"/>
        <v>1.0235001365186251</v>
      </c>
      <c r="D34" s="76">
        <f t="shared" si="2"/>
        <v>1.324852673666856</v>
      </c>
      <c r="E34" s="63">
        <f t="shared" si="1"/>
        <v>1.3559868923650926</v>
      </c>
      <c r="F34" s="61" t="s">
        <v>88</v>
      </c>
      <c r="G34" s="64"/>
      <c r="H34" s="64"/>
      <c r="I34" s="64"/>
      <c r="J34" s="64"/>
      <c r="K34" s="64"/>
      <c r="L34" s="64"/>
      <c r="M34" s="64"/>
      <c r="N34" s="64"/>
    </row>
    <row r="35" spans="1:24" x14ac:dyDescent="0.25">
      <c r="A35" s="78">
        <v>2029</v>
      </c>
      <c r="B35" s="75">
        <v>1.0470002730372501</v>
      </c>
      <c r="C35" s="76">
        <f t="shared" si="0"/>
        <v>1.0235001365186251</v>
      </c>
      <c r="D35" s="76">
        <f t="shared" si="2"/>
        <v>1.387121111063329</v>
      </c>
      <c r="E35" s="63">
        <f t="shared" si="1"/>
        <v>1.4197186465411842</v>
      </c>
      <c r="F35" s="61" t="s">
        <v>89</v>
      </c>
      <c r="G35" s="64"/>
      <c r="H35" s="64"/>
      <c r="I35" s="64"/>
      <c r="J35" s="64"/>
      <c r="K35" s="64"/>
      <c r="L35" s="64"/>
      <c r="M35" s="64"/>
      <c r="N35" s="64"/>
    </row>
    <row r="36" spans="1:24" x14ac:dyDescent="0.25">
      <c r="A36" s="81">
        <v>2030</v>
      </c>
      <c r="B36" s="82">
        <v>1.0470002730372501</v>
      </c>
      <c r="C36" s="76">
        <f t="shared" si="0"/>
        <v>1.0235001365186251</v>
      </c>
      <c r="D36" s="76">
        <f t="shared" si="2"/>
        <v>1.4523161820190391</v>
      </c>
      <c r="E36" s="63">
        <f t="shared" si="1"/>
        <v>1.4864458105646949</v>
      </c>
      <c r="F36" s="61" t="s">
        <v>90</v>
      </c>
      <c r="G36" s="64"/>
      <c r="H36" s="64"/>
      <c r="I36" s="64"/>
      <c r="J36" s="64"/>
      <c r="K36" s="64"/>
      <c r="L36" s="64"/>
      <c r="M36" s="64"/>
      <c r="N36" s="64"/>
    </row>
    <row r="37" spans="1:24" ht="15.75" thickBot="1" x14ac:dyDescent="0.3">
      <c r="B37">
        <v>0</v>
      </c>
      <c r="C37">
        <v>0</v>
      </c>
      <c r="R37" t="s">
        <v>72</v>
      </c>
    </row>
    <row r="38" spans="1:24" ht="25.5" x14ac:dyDescent="0.25">
      <c r="A38" s="48" t="s">
        <v>20</v>
      </c>
      <c r="B38" s="48" t="s">
        <v>21</v>
      </c>
      <c r="C38" s="48" t="s">
        <v>22</v>
      </c>
      <c r="D38" s="48" t="s">
        <v>5</v>
      </c>
      <c r="E38" s="48" t="s">
        <v>23</v>
      </c>
      <c r="F38" s="48" t="s">
        <v>27</v>
      </c>
      <c r="G38" s="48" t="s">
        <v>28</v>
      </c>
      <c r="H38" s="48" t="s">
        <v>29</v>
      </c>
      <c r="I38" s="48" t="s">
        <v>30</v>
      </c>
      <c r="J38" s="48" t="s">
        <v>31</v>
      </c>
      <c r="K38" s="48" t="s">
        <v>24</v>
      </c>
      <c r="L38" s="48" t="s">
        <v>32</v>
      </c>
      <c r="M38" s="48" t="s">
        <v>25</v>
      </c>
      <c r="N38" s="48" t="s">
        <v>33</v>
      </c>
      <c r="O38" s="48" t="s">
        <v>26</v>
      </c>
      <c r="R38" t="s">
        <v>39</v>
      </c>
      <c r="S38" s="27" t="s">
        <v>9</v>
      </c>
      <c r="T38" s="27" t="s">
        <v>10</v>
      </c>
      <c r="U38" s="27" t="s">
        <v>11</v>
      </c>
      <c r="V38" s="27" t="s">
        <v>12</v>
      </c>
      <c r="W38" s="27" t="s">
        <v>3</v>
      </c>
      <c r="X38" s="27" t="s">
        <v>13</v>
      </c>
    </row>
    <row r="39" spans="1:24" ht="24.75" x14ac:dyDescent="0.25">
      <c r="A39" s="39">
        <v>2</v>
      </c>
      <c r="B39" s="39" t="s">
        <v>79</v>
      </c>
      <c r="C39" s="39">
        <v>2024</v>
      </c>
      <c r="D39" s="39">
        <v>2024</v>
      </c>
      <c r="E39" s="39">
        <v>1.744</v>
      </c>
      <c r="F39" s="39">
        <v>0</v>
      </c>
      <c r="G39" s="40">
        <v>9883.1370000000006</v>
      </c>
      <c r="H39" s="39">
        <v>6.085</v>
      </c>
      <c r="I39" s="39">
        <v>0</v>
      </c>
      <c r="J39" s="39">
        <v>383.702</v>
      </c>
      <c r="K39" s="39"/>
      <c r="L39" s="39">
        <v>10272.924000000001</v>
      </c>
      <c r="M39" s="39" t="s">
        <v>80</v>
      </c>
      <c r="N39" s="39">
        <v>5890.4380000000001</v>
      </c>
      <c r="O39" s="39" t="s">
        <v>81</v>
      </c>
      <c r="R39">
        <v>2012</v>
      </c>
    </row>
    <row r="40" spans="1:24" x14ac:dyDescent="0.25">
      <c r="A40">
        <v>1</v>
      </c>
      <c r="B40" t="s">
        <v>79</v>
      </c>
      <c r="C40">
        <v>2021</v>
      </c>
      <c r="D40">
        <v>2024</v>
      </c>
      <c r="E40">
        <v>1</v>
      </c>
      <c r="F40">
        <v>855.59699999999998</v>
      </c>
      <c r="G40">
        <v>0</v>
      </c>
      <c r="H40">
        <v>0</v>
      </c>
      <c r="I40">
        <v>0</v>
      </c>
      <c r="J40">
        <v>0</v>
      </c>
      <c r="L40">
        <v>855.59699999999998</v>
      </c>
      <c r="M40" t="s">
        <v>80</v>
      </c>
      <c r="N40">
        <v>855.59699999999998</v>
      </c>
      <c r="O40" t="s">
        <v>81</v>
      </c>
      <c r="R40">
        <v>2013</v>
      </c>
    </row>
    <row r="41" spans="1:24" x14ac:dyDescent="0.25">
      <c r="R41">
        <v>2014</v>
      </c>
    </row>
    <row r="42" spans="1:24" x14ac:dyDescent="0.25">
      <c r="R42">
        <v>2015</v>
      </c>
    </row>
    <row r="43" spans="1:24" x14ac:dyDescent="0.25">
      <c r="R43">
        <v>2016</v>
      </c>
    </row>
    <row r="44" spans="1:24" x14ac:dyDescent="0.25">
      <c r="R44">
        <v>2017</v>
      </c>
    </row>
    <row r="45" spans="1:24" x14ac:dyDescent="0.25">
      <c r="R45">
        <v>2018</v>
      </c>
    </row>
    <row r="46" spans="1:24" x14ac:dyDescent="0.25">
      <c r="R46">
        <v>2019</v>
      </c>
    </row>
    <row r="47" spans="1:24" x14ac:dyDescent="0.25">
      <c r="R47">
        <v>2020</v>
      </c>
    </row>
    <row r="48" spans="1:24" x14ac:dyDescent="0.25">
      <c r="R48">
        <v>2021</v>
      </c>
      <c r="S48">
        <v>855.59699999999998</v>
      </c>
      <c r="T48">
        <v>0</v>
      </c>
      <c r="U48">
        <v>0</v>
      </c>
      <c r="V48">
        <v>0</v>
      </c>
      <c r="W48">
        <v>0</v>
      </c>
      <c r="X48">
        <v>855.59699999999998</v>
      </c>
    </row>
    <row r="49" spans="18:24" x14ac:dyDescent="0.25">
      <c r="R49">
        <v>2022</v>
      </c>
    </row>
    <row r="50" spans="18:24" x14ac:dyDescent="0.25">
      <c r="R50">
        <v>2023</v>
      </c>
    </row>
    <row r="51" spans="18:24" x14ac:dyDescent="0.25">
      <c r="R51">
        <v>2024</v>
      </c>
      <c r="S51">
        <v>0</v>
      </c>
      <c r="T51">
        <v>9883.1370000000006</v>
      </c>
      <c r="U51">
        <v>6.085</v>
      </c>
      <c r="V51">
        <v>0</v>
      </c>
      <c r="W51">
        <v>383.702</v>
      </c>
      <c r="X51">
        <v>10272.924000000001</v>
      </c>
    </row>
    <row r="52" spans="18:24" x14ac:dyDescent="0.25">
      <c r="R52">
        <v>2025</v>
      </c>
    </row>
    <row r="53" spans="18:24" x14ac:dyDescent="0.25">
      <c r="R53">
        <v>2026</v>
      </c>
    </row>
    <row r="54" spans="18:24" x14ac:dyDescent="0.25">
      <c r="R54">
        <v>2027</v>
      </c>
    </row>
    <row r="55" spans="18:24" x14ac:dyDescent="0.25">
      <c r="R55">
        <v>2028</v>
      </c>
    </row>
    <row r="56" spans="18:24" x14ac:dyDescent="0.25">
      <c r="R56">
        <v>2029</v>
      </c>
    </row>
    <row r="57" spans="18:24" x14ac:dyDescent="0.25">
      <c r="R57">
        <v>2030</v>
      </c>
    </row>
  </sheetData>
  <mergeCells count="4">
    <mergeCell ref="O1:P1"/>
    <mergeCell ref="O2:P2"/>
    <mergeCell ref="O3:P3"/>
    <mergeCell ref="G1:I1"/>
  </mergeCells>
  <pageMargins left="0.7" right="0.7" top="0.75" bottom="0.75" header="0.3" footer="0.3"/>
  <pageSetup paperSize="9" orientation="portrait" r:id="rId1"/>
  <ignoredErrors>
    <ignoredError sqref="D18:E18" evalError="1" listDataValidation="1" calculatedColumn="1"/>
  </ignoredErrors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33</vt:i4>
      </vt:variant>
    </vt:vector>
  </HeadingPairs>
  <TitlesOfParts>
    <vt:vector size="35" baseType="lpstr">
      <vt:lpstr>Расчет</vt:lpstr>
      <vt:lpstr>Данные</vt:lpstr>
      <vt:lpstr>Заголовок</vt:lpstr>
      <vt:lpstr>Индекс_цен</vt:lpstr>
      <vt:lpstr>Код</vt:lpstr>
      <vt:lpstr>НДС</vt:lpstr>
      <vt:lpstr>Расчет!Область_печати</vt:lpstr>
      <vt:lpstr>Обор_баз</vt:lpstr>
      <vt:lpstr>Оборуд_Тек</vt:lpstr>
      <vt:lpstr>Оборуд_Тек2</vt:lpstr>
      <vt:lpstr>Оборуд_Тек3</vt:lpstr>
      <vt:lpstr>ПИР_баз</vt:lpstr>
      <vt:lpstr>ПИР_Тек</vt:lpstr>
      <vt:lpstr>ПИР_Тек2</vt:lpstr>
      <vt:lpstr>ПИР_Тек3</vt:lpstr>
      <vt:lpstr>ПНР_баз</vt:lpstr>
      <vt:lpstr>ПНР_Тек</vt:lpstr>
      <vt:lpstr>ПНР_Тек2</vt:lpstr>
      <vt:lpstr>ПНР_Тек3</vt:lpstr>
      <vt:lpstr>Прочее_баз</vt:lpstr>
      <vt:lpstr>Прочее_Тек</vt:lpstr>
      <vt:lpstr>Прочее_Тек2</vt:lpstr>
      <vt:lpstr>Прочее_Тек3</vt:lpstr>
      <vt:lpstr>СМР_баз</vt:lpstr>
      <vt:lpstr>СМР_Тек</vt:lpstr>
      <vt:lpstr>СМР_Тек2</vt:lpstr>
      <vt:lpstr>СМР_Тек3</vt:lpstr>
      <vt:lpstr>ТаблицаРасчета</vt:lpstr>
      <vt:lpstr>Тек_цен</vt:lpstr>
      <vt:lpstr>Титул</vt:lpstr>
      <vt:lpstr>Филиал</vt:lpstr>
      <vt:lpstr>Фин</vt:lpstr>
      <vt:lpstr>Фин_Проценты</vt:lpstr>
      <vt:lpstr>Фин_Прочее</vt:lpstr>
      <vt:lpstr>Фин_Факт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Пыткин Алексей Дмитриевич</dc:creator>
  <cp:keywords/>
  <dc:description/>
  <cp:lastModifiedBy>Сенопальникова Ольга Евгеньевна</cp:lastModifiedBy>
  <cp:lastPrinted>2019-05-08T11:15:50Z</cp:lastPrinted>
  <dcterms:created xsi:type="dcterms:W3CDTF">2017-03-09T08:04:05Z</dcterms:created>
  <dcterms:modified xsi:type="dcterms:W3CDTF">2022-07-06T13:22:02Z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jc_id">
    <vt:lpwstr>9D1870CA-F1D7-484F-9D95-0A1B82AD2469</vt:lpwstr>
  </property>
  <property fmtid="{D5CDD505-2E9C-101B-9397-08002B2CF9AE}" pid="3" name="ErorMsg">
    <vt:lpwstr>No</vt:lpwstr>
  </property>
  <property fmtid="{D5CDD505-2E9C-101B-9397-08002B2CF9AE}" pid="4" name="ErrorMsg">
    <vt:lpwstr>No</vt:lpwstr>
  </property>
</Properties>
</file>